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5.xml" ContentType="application/vnd.openxmlformats-officedocument.drawing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7.xml" ContentType="application/vnd.openxmlformats-officedocument.drawing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6"/>
  <workbookPr hidePivotFieldList="1"/>
  <mc:AlternateContent xmlns:mc="http://schemas.openxmlformats.org/markup-compatibility/2006">
    <mc:Choice Requires="x15">
      <x15ac:absPath xmlns:x15ac="http://schemas.microsoft.com/office/spreadsheetml/2010/11/ac" url="https://multconnect-my.sharepoint.com/personal/jewatabe_multconnect_com_br/Documents/Projetos/ABICS/Consultoria BI/202309/"/>
    </mc:Choice>
  </mc:AlternateContent>
  <xr:revisionPtr revIDLastSave="994" documentId="8_{3742D449-949A-4BAB-B6E7-1DBA8EDC1C92}" xr6:coauthVersionLast="47" xr6:coauthVersionMax="47" xr10:uidLastSave="{5EED2240-E3A1-4258-B488-3A02718EF035}"/>
  <bookViews>
    <workbookView xWindow="-110" yWindow="-110" windowWidth="19420" windowHeight="10420" tabRatio="886" xr2:uid="{98284DDC-3908-4284-A3EC-9222339950DC}"/>
  </bookViews>
  <sheets>
    <sheet name="Mensal BL" sheetId="5" r:id="rId1"/>
    <sheet name="País Mensal BL" sheetId="3" r:id="rId2"/>
    <sheet name="País Acumulado BL" sheetId="6" r:id="rId3"/>
    <sheet name="País Anual BL" sheetId="7" r:id="rId4"/>
    <sheet name="Produto Mensal BL" sheetId="4" r:id="rId5"/>
    <sheet name="Produto Acumulado BL" sheetId="8" r:id="rId6"/>
    <sheet name="Produto Anual BL" sheetId="11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2" i="8" l="1" a="1"/>
  <c r="C62" i="8" s="1"/>
  <c r="C38" i="8" a="1"/>
  <c r="C38" i="8" s="1"/>
  <c r="C14" i="8" a="1"/>
  <c r="C14" i="8" s="1"/>
  <c r="C62" i="4" a="1"/>
  <c r="C62" i="4" s="1"/>
  <c r="C38" i="4" a="1"/>
  <c r="C38" i="4" s="1"/>
  <c r="C14" i="4" a="1"/>
  <c r="C14" i="4" s="1"/>
  <c r="H6" i="8" a="1"/>
  <c r="H6" i="8" s="1"/>
  <c r="G6" i="8" a="1"/>
  <c r="G6" i="8" s="1"/>
  <c r="F6" i="8" a="1"/>
  <c r="F6" i="8" s="1"/>
  <c r="E6" i="8" a="1"/>
  <c r="E6" i="8" s="1"/>
  <c r="D6" i="8" a="1"/>
  <c r="D6" i="8" s="1"/>
  <c r="H6" i="6" a="1"/>
  <c r="H6" i="6" s="1"/>
  <c r="G6" i="6" a="1"/>
  <c r="G6" i="6" s="1"/>
  <c r="F6" i="6" a="1"/>
  <c r="F6" i="6" s="1"/>
  <c r="E6" i="6" a="1"/>
  <c r="E6" i="6" s="1"/>
  <c r="D6" i="6" a="1"/>
  <c r="D6" i="6" s="1"/>
  <c r="H6" i="4" a="1"/>
  <c r="H6" i="4" s="1"/>
  <c r="G6" i="4" a="1"/>
  <c r="G6" i="4" s="1"/>
  <c r="F6" i="4" a="1"/>
  <c r="F6" i="4" s="1"/>
  <c r="E6" i="4" a="1"/>
  <c r="E6" i="4" s="1"/>
  <c r="D6" i="4" a="1"/>
  <c r="D6" i="4" s="1"/>
  <c r="H6" i="3" a="1"/>
  <c r="H6" i="3" s="1"/>
  <c r="G6" i="3" a="1"/>
  <c r="G6" i="3" s="1"/>
  <c r="F6" i="3" a="1"/>
  <c r="F6" i="3" s="1"/>
  <c r="E6" i="3" a="1"/>
  <c r="E6" i="3" s="1"/>
  <c r="D6" i="3" a="1"/>
  <c r="D6" i="3" s="1"/>
  <c r="H6" i="5" a="1"/>
  <c r="H6" i="5" s="1"/>
  <c r="G6" i="5" a="1"/>
  <c r="G6" i="5" s="1"/>
  <c r="F6" i="5" a="1"/>
  <c r="F6" i="5" s="1"/>
  <c r="E6" i="5" a="1"/>
  <c r="E6" i="5" s="1"/>
  <c r="D6" i="5" a="1"/>
  <c r="D6" i="5" s="1"/>
  <c r="D8" i="5"/>
  <c r="C3" i="11" a="1"/>
  <c r="C3" i="11" s="1"/>
  <c r="C3" i="8" a="1"/>
  <c r="C3" i="8" s="1"/>
  <c r="C3" i="4" a="1"/>
  <c r="C3" i="4" s="1"/>
  <c r="C3" i="7" a="1"/>
  <c r="C3" i="7" s="1"/>
  <c r="C3" i="6" a="1"/>
  <c r="C3" i="6" s="1"/>
  <c r="C3" i="3" a="1"/>
  <c r="C3" i="3" s="1"/>
  <c r="C3" i="5" a="1"/>
  <c r="C3" i="5" s="1"/>
  <c r="D26" i="11" a="1"/>
  <c r="D26" i="11" s="1"/>
  <c r="E26" i="11" s="1"/>
  <c r="F26" i="11" s="1"/>
  <c r="G26" i="11" s="1"/>
  <c r="H26" i="11" s="1"/>
  <c r="I26" i="11" s="1"/>
  <c r="J26" i="11" s="1"/>
  <c r="K26" i="11" s="1"/>
  <c r="L26" i="11" s="1"/>
  <c r="M26" i="11" s="1"/>
  <c r="D16" i="11" a="1"/>
  <c r="D16" i="11" s="1"/>
  <c r="E16" i="11" s="1"/>
  <c r="F16" i="11" s="1"/>
  <c r="G16" i="11" s="1"/>
  <c r="H16" i="11" s="1"/>
  <c r="I16" i="11" s="1"/>
  <c r="J16" i="11" s="1"/>
  <c r="K16" i="11" s="1"/>
  <c r="L16" i="11" s="1"/>
  <c r="M16" i="11" s="1"/>
  <c r="D6" i="11" a="1"/>
  <c r="D6" i="11" s="1"/>
  <c r="E6" i="11" s="1"/>
  <c r="F6" i="11" s="1"/>
  <c r="G6" i="11" s="1"/>
  <c r="H6" i="11" s="1"/>
  <c r="I6" i="11" s="1"/>
  <c r="J6" i="11" s="1"/>
  <c r="K6" i="11" s="1"/>
  <c r="L6" i="11" s="1"/>
  <c r="M6" i="11" s="1"/>
  <c r="D6" i="7" a="1"/>
  <c r="D6" i="7" s="1"/>
  <c r="D276" i="7" a="1"/>
  <c r="D276" i="7" s="1"/>
  <c r="E276" i="7" s="1"/>
  <c r="F276" i="7" s="1"/>
  <c r="G276" i="7" s="1"/>
  <c r="H276" i="7" s="1"/>
  <c r="I276" i="7" s="1"/>
  <c r="J276" i="7" s="1"/>
  <c r="K276" i="7" s="1"/>
  <c r="L276" i="7" s="1"/>
  <c r="M276" i="7" s="1"/>
  <c r="D141" i="7" a="1"/>
  <c r="D141" i="7" s="1"/>
  <c r="E141" i="7" s="1"/>
  <c r="F141" i="7" s="1"/>
  <c r="G141" i="7" s="1"/>
  <c r="H141" i="7" s="1"/>
  <c r="I141" i="7" s="1"/>
  <c r="J141" i="7" s="1"/>
  <c r="K141" i="7" s="1"/>
  <c r="L141" i="7" s="1"/>
  <c r="M141" i="7" s="1"/>
  <c r="M31" i="11"/>
  <c r="L31" i="11"/>
  <c r="K31" i="11"/>
  <c r="J31" i="11"/>
  <c r="I31" i="11"/>
  <c r="H31" i="11"/>
  <c r="G31" i="11"/>
  <c r="F31" i="11"/>
  <c r="E31" i="11"/>
  <c r="D31" i="11"/>
  <c r="M21" i="11"/>
  <c r="L21" i="11"/>
  <c r="K21" i="11"/>
  <c r="J21" i="11"/>
  <c r="I21" i="11"/>
  <c r="H21" i="11"/>
  <c r="G21" i="11"/>
  <c r="F21" i="11"/>
  <c r="E21" i="11"/>
  <c r="D21" i="11"/>
  <c r="M11" i="11"/>
  <c r="L11" i="11"/>
  <c r="K11" i="11"/>
  <c r="J11" i="11"/>
  <c r="I11" i="11"/>
  <c r="H11" i="11"/>
  <c r="G11" i="11"/>
  <c r="F11" i="11"/>
  <c r="E11" i="11"/>
  <c r="D11" i="11"/>
  <c r="M406" i="7"/>
  <c r="L406" i="7"/>
  <c r="K406" i="7"/>
  <c r="J406" i="7"/>
  <c r="I406" i="7"/>
  <c r="H406" i="7"/>
  <c r="G406" i="7"/>
  <c r="F406" i="7"/>
  <c r="E406" i="7"/>
  <c r="D406" i="7"/>
  <c r="M271" i="7"/>
  <c r="L271" i="7"/>
  <c r="K271" i="7"/>
  <c r="J271" i="7"/>
  <c r="I271" i="7"/>
  <c r="H271" i="7"/>
  <c r="G271" i="7"/>
  <c r="F271" i="7"/>
  <c r="E271" i="7"/>
  <c r="D271" i="7"/>
  <c r="G136" i="7"/>
  <c r="H136" i="7"/>
  <c r="I136" i="7"/>
  <c r="J136" i="7"/>
  <c r="K136" i="7"/>
  <c r="L136" i="7"/>
  <c r="M136" i="7"/>
  <c r="F59" i="8"/>
  <c r="E59" i="8"/>
  <c r="D59" i="8"/>
  <c r="H59" i="8" s="1"/>
  <c r="F35" i="8"/>
  <c r="E35" i="8"/>
  <c r="D35" i="8"/>
  <c r="H35" i="8" s="1"/>
  <c r="F11" i="8"/>
  <c r="E11" i="8"/>
  <c r="D11" i="8"/>
  <c r="H11" i="8" s="1"/>
  <c r="F136" i="7"/>
  <c r="E136" i="7"/>
  <c r="D136" i="7"/>
  <c r="C308" i="6" a="1"/>
  <c r="C308" i="6" s="1"/>
  <c r="F305" i="6"/>
  <c r="E305" i="6"/>
  <c r="D305" i="6"/>
  <c r="H305" i="6" s="1"/>
  <c r="C202" i="6" a="1"/>
  <c r="C202" i="6" s="1"/>
  <c r="F199" i="6"/>
  <c r="E199" i="6"/>
  <c r="D199" i="6"/>
  <c r="H199" i="6" s="1"/>
  <c r="C96" i="6" a="1"/>
  <c r="C96" i="6" s="1"/>
  <c r="F93" i="6"/>
  <c r="E93" i="6"/>
  <c r="D93" i="6"/>
  <c r="F50" i="5"/>
  <c r="E50" i="5"/>
  <c r="D50" i="5"/>
  <c r="H50" i="5" s="1"/>
  <c r="F29" i="5"/>
  <c r="E29" i="5"/>
  <c r="D29" i="5"/>
  <c r="G29" i="5" s="1"/>
  <c r="F8" i="5"/>
  <c r="E8" i="5"/>
  <c r="F59" i="4"/>
  <c r="E59" i="4"/>
  <c r="D59" i="4"/>
  <c r="F35" i="4"/>
  <c r="E35" i="4"/>
  <c r="D35" i="4"/>
  <c r="F11" i="4"/>
  <c r="E11" i="4"/>
  <c r="D11" i="4"/>
  <c r="C308" i="3" a="1"/>
  <c r="C308" i="3" s="1"/>
  <c r="C202" i="3" a="1"/>
  <c r="C202" i="3" s="1"/>
  <c r="C96" i="3" a="1"/>
  <c r="C96" i="3" s="1"/>
  <c r="D48" i="5" l="1" a="1"/>
  <c r="D48" i="5" s="1"/>
  <c r="D27" i="5" a="1"/>
  <c r="D27" i="5" s="1"/>
  <c r="D218" i="3" a="1"/>
  <c r="D218" i="3" s="1"/>
  <c r="D112" i="3" a="1"/>
  <c r="D112" i="3" s="1"/>
  <c r="D54" i="4" a="1"/>
  <c r="D54" i="4" s="1"/>
  <c r="D30" i="4" a="1"/>
  <c r="D30" i="4" s="1"/>
  <c r="D218" i="6" a="1"/>
  <c r="D218" i="6" s="1"/>
  <c r="D112" i="6" a="1"/>
  <c r="D112" i="6" s="1"/>
  <c r="D54" i="8" a="1"/>
  <c r="D54" i="8" s="1"/>
  <c r="D30" i="8" a="1"/>
  <c r="D30" i="8" s="1"/>
  <c r="G8" i="5"/>
  <c r="H8" i="5"/>
  <c r="G59" i="8"/>
  <c r="H11" i="4"/>
  <c r="H93" i="6"/>
  <c r="G93" i="6"/>
  <c r="H29" i="5"/>
  <c r="G50" i="5"/>
  <c r="E6" i="7"/>
  <c r="F6" i="7" s="1"/>
  <c r="G6" i="7" s="1"/>
  <c r="H6" i="7" s="1"/>
  <c r="I6" i="7" s="1"/>
  <c r="J6" i="7" s="1"/>
  <c r="K6" i="7" s="1"/>
  <c r="L6" i="7" s="1"/>
  <c r="M6" i="7" s="1"/>
  <c r="G11" i="8"/>
  <c r="G35" i="8"/>
  <c r="G199" i="6"/>
  <c r="G305" i="6"/>
  <c r="H59" i="4"/>
  <c r="H35" i="4"/>
  <c r="G59" i="4"/>
  <c r="G35" i="4"/>
  <c r="G11" i="4"/>
  <c r="F305" i="3"/>
  <c r="E305" i="3"/>
  <c r="D305" i="3"/>
  <c r="F199" i="3"/>
  <c r="E199" i="3"/>
  <c r="D199" i="3"/>
  <c r="F93" i="3"/>
  <c r="E93" i="3"/>
  <c r="D93" i="3"/>
  <c r="G199" i="3" l="1"/>
  <c r="G93" i="3"/>
  <c r="H305" i="3"/>
  <c r="H93" i="3"/>
  <c r="H199" i="3"/>
  <c r="G30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<sst xmlns="http://schemas.openxmlformats.org/spreadsheetml/2006/main" count="1050" uniqueCount="149">
  <si>
    <t>ABICS Data</t>
  </si>
  <si>
    <t>Exportações Brasileiras Mensais de Café Solúvel</t>
  </si>
  <si>
    <t>Fonte de dados: BL</t>
  </si>
  <si>
    <t>Peso Líquido (kg) por BL</t>
  </si>
  <si>
    <t>Mês</t>
  </si>
  <si>
    <t>Ano</t>
  </si>
  <si>
    <t>janeiro</t>
  </si>
  <si>
    <t>jan</t>
  </si>
  <si>
    <t>Total</t>
  </si>
  <si>
    <t>Fonte: ABICS</t>
  </si>
  <si>
    <t>Sacas (un. 60 kg) por BL</t>
  </si>
  <si>
    <t>Receita Cambial (US$) por BL</t>
  </si>
  <si>
    <t>Exportações Brasileiras de Café Solúvel por Destino</t>
  </si>
  <si>
    <t>Destino</t>
  </si>
  <si>
    <t>Estados Unidos</t>
  </si>
  <si>
    <t>Polônia</t>
  </si>
  <si>
    <t>Japão</t>
  </si>
  <si>
    <t>Peru</t>
  </si>
  <si>
    <t>Chile</t>
  </si>
  <si>
    <t>Países Baixos (Holanda)</t>
  </si>
  <si>
    <t>Rússia</t>
  </si>
  <si>
    <t>Alemanha</t>
  </si>
  <si>
    <t>Indonésia</t>
  </si>
  <si>
    <t>Emirados Árabes Unidos</t>
  </si>
  <si>
    <t>Canadá</t>
  </si>
  <si>
    <t>Reino Unido</t>
  </si>
  <si>
    <t>Coreia do Sul</t>
  </si>
  <si>
    <t>Argentina</t>
  </si>
  <si>
    <t>Equador</t>
  </si>
  <si>
    <t>Finlândia</t>
  </si>
  <si>
    <t>Malásia</t>
  </si>
  <si>
    <t>Lituânia</t>
  </si>
  <si>
    <t>Arábia Saudita</t>
  </si>
  <si>
    <t>Bolívia</t>
  </si>
  <si>
    <t>Sérvia</t>
  </si>
  <si>
    <t>Vietnã</t>
  </si>
  <si>
    <t>Singapura</t>
  </si>
  <si>
    <t>Mianmar</t>
  </si>
  <si>
    <t>México</t>
  </si>
  <si>
    <t>Estônia</t>
  </si>
  <si>
    <t>El Salvador</t>
  </si>
  <si>
    <t>Bulgária</t>
  </si>
  <si>
    <t>Romênia</t>
  </si>
  <si>
    <t>Suécia</t>
  </si>
  <si>
    <t>Paraguai</t>
  </si>
  <si>
    <t>Quênia</t>
  </si>
  <si>
    <t>Trinidad e Tobago</t>
  </si>
  <si>
    <t>Guiana</t>
  </si>
  <si>
    <t>Iraque</t>
  </si>
  <si>
    <t>China</t>
  </si>
  <si>
    <t>Guatemala</t>
  </si>
  <si>
    <t>Jamaica</t>
  </si>
  <si>
    <t>Hungria</t>
  </si>
  <si>
    <t>Jordânia</t>
  </si>
  <si>
    <t>Egito</t>
  </si>
  <si>
    <t>Gana</t>
  </si>
  <si>
    <t>Espanha</t>
  </si>
  <si>
    <t>Líbano</t>
  </si>
  <si>
    <t>Afeganistão</t>
  </si>
  <si>
    <t>Nicarágua</t>
  </si>
  <si>
    <t>Hong Kong</t>
  </si>
  <si>
    <t>Argélia</t>
  </si>
  <si>
    <t>Uruguai</t>
  </si>
  <si>
    <t>África do Sul</t>
  </si>
  <si>
    <t>Líbia</t>
  </si>
  <si>
    <t>Suriname</t>
  </si>
  <si>
    <t>Tunísia</t>
  </si>
  <si>
    <t>Coveite (Kuweit)</t>
  </si>
  <si>
    <t>Austrália</t>
  </si>
  <si>
    <t>Seicheles</t>
  </si>
  <si>
    <t>Barein</t>
  </si>
  <si>
    <t>Itália</t>
  </si>
  <si>
    <t>Panamá</t>
  </si>
  <si>
    <t>Israel</t>
  </si>
  <si>
    <t>Malta</t>
  </si>
  <si>
    <t>Catar</t>
  </si>
  <si>
    <t>Colômbia</t>
  </si>
  <si>
    <t>Comores</t>
  </si>
  <si>
    <t>Costa do Marfim</t>
  </si>
  <si>
    <t>Costa Rica</t>
  </si>
  <si>
    <t>Dubai</t>
  </si>
  <si>
    <t>Fiji</t>
  </si>
  <si>
    <t>Geórgia</t>
  </si>
  <si>
    <t>Grécia</t>
  </si>
  <si>
    <t>Guiné</t>
  </si>
  <si>
    <t>Letônia</t>
  </si>
  <si>
    <t>Maurício</t>
  </si>
  <si>
    <t>Moldávia</t>
  </si>
  <si>
    <t>Nigéria</t>
  </si>
  <si>
    <t>Noruega</t>
  </si>
  <si>
    <t>Omã</t>
  </si>
  <si>
    <t>Paquistão</t>
  </si>
  <si>
    <t>República Dominicana</t>
  </si>
  <si>
    <t>Ruanda</t>
  </si>
  <si>
    <t>Suíça</t>
  </si>
  <si>
    <t>Taiwan (Formosa)</t>
  </si>
  <si>
    <t>Turquia</t>
  </si>
  <si>
    <t>Ucrânia</t>
  </si>
  <si>
    <t>Uganda</t>
  </si>
  <si>
    <t>Venezuela</t>
  </si>
  <si>
    <t>Angola</t>
  </si>
  <si>
    <t>Armênia</t>
  </si>
  <si>
    <t>Áustria</t>
  </si>
  <si>
    <t>Belarus</t>
  </si>
  <si>
    <t>Bélgica</t>
  </si>
  <si>
    <t>Benin</t>
  </si>
  <si>
    <t>Botsuana</t>
  </si>
  <si>
    <t>Cabo Verde</t>
  </si>
  <si>
    <t>Camarões</t>
  </si>
  <si>
    <t>Congo</t>
  </si>
  <si>
    <t>Congo, República Democrática</t>
  </si>
  <si>
    <t>Croácia</t>
  </si>
  <si>
    <t>Djibuti</t>
  </si>
  <si>
    <t>Eslovênia</t>
  </si>
  <si>
    <t>Etiópia</t>
  </si>
  <si>
    <t>Filipinas</t>
  </si>
  <si>
    <t>França</t>
  </si>
  <si>
    <t>Gabão</t>
  </si>
  <si>
    <t>Gâmbia</t>
  </si>
  <si>
    <t>Guiana Francesa</t>
  </si>
  <si>
    <t>Guiné Equatorial</t>
  </si>
  <si>
    <t>Iêmen</t>
  </si>
  <si>
    <t>Índia</t>
  </si>
  <si>
    <t>Irã</t>
  </si>
  <si>
    <t>Irlanda</t>
  </si>
  <si>
    <t>Madagascar</t>
  </si>
  <si>
    <t>Marrocos</t>
  </si>
  <si>
    <t>Mongólia</t>
  </si>
  <si>
    <t>Namíbia</t>
  </si>
  <si>
    <t>Nova Zelândia</t>
  </si>
  <si>
    <t>Portugal</t>
  </si>
  <si>
    <t>Samoa</t>
  </si>
  <si>
    <t>Senegal</t>
  </si>
  <si>
    <t>Síria</t>
  </si>
  <si>
    <t>Somália</t>
  </si>
  <si>
    <t>Sri Lanka</t>
  </si>
  <si>
    <t>Sudão</t>
  </si>
  <si>
    <t>Tailândia</t>
  </si>
  <si>
    <t>Tanzânia</t>
  </si>
  <si>
    <t>Tcheca, República</t>
  </si>
  <si>
    <t>Uzbequistão</t>
  </si>
  <si>
    <t>Zâmbia</t>
  </si>
  <si>
    <t>Zimbábue</t>
  </si>
  <si>
    <t>Exportações Brasileiras de Café Solúvel por Classificação</t>
  </si>
  <si>
    <t>Classificação</t>
  </si>
  <si>
    <t>SPRAY DRIED</t>
  </si>
  <si>
    <t>FREEZE DRIED</t>
  </si>
  <si>
    <t>EXTRACT</t>
  </si>
  <si>
    <t>COFFEE PREPARATION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</si>
</sst>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%"/>
    <numFmt numFmtId="165" formatCode="_(* #,##0_);_(* \(#,##0\);_(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rgb="FF682F26"/>
      <name val="Segoe UI"/>
      <family val="2"/>
    </font>
    <font>
      <b/>
      <sz val="11"/>
      <color theme="0"/>
      <name val="Segoe UI"/>
      <family val="2"/>
    </font>
    <font>
      <sz val="14"/>
      <color rgb="FF682F26"/>
      <name val="Segoe UI"/>
      <family val="2"/>
    </font>
    <font>
      <sz val="8"/>
      <color rgb="FF682F26"/>
      <name val="Segoe UI"/>
      <family val="2"/>
    </font>
    <font>
      <b/>
      <sz val="26"/>
      <color rgb="FF682F26"/>
      <name val="Segoe UI"/>
      <family val="2"/>
    </font>
    <font>
      <sz val="16"/>
      <color rgb="FF682F26"/>
      <name val="Segoe UI"/>
      <family val="2"/>
    </font>
    <font>
      <sz val="10"/>
      <color theme="1"/>
      <name val="Segoe UI"/>
      <family val="2"/>
    </font>
    <font>
      <sz val="10"/>
      <color rgb="FF682F26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682F26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164" fontId="2" fillId="0" borderId="0" xfId="0" applyNumberFormat="1" applyFont="1"/>
    <xf numFmtId="0" fontId="1" fillId="3" borderId="0" xfId="0" applyFont="1" applyFill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2" fillId="0" borderId="0" xfId="0" applyNumberFormat="1" applyFont="1"/>
    <xf numFmtId="0" fontId="9" fillId="0" borderId="0" xfId="0" applyFont="1" applyAlignment="1">
      <alignment vertical="center"/>
    </xf>
    <xf numFmtId="0" fontId="8" fillId="0" borderId="0" xfId="0" applyFont="1"/>
    <xf numFmtId="0" fontId="1" fillId="0" borderId="0" xfId="0" applyFont="1" applyFill="1"/>
    <xf numFmtId="165" fontId="1" fillId="0" borderId="0" xfId="0" applyNumberFormat="1" applyFont="1" applyFill="1" applyAlignment="1">
      <alignment horizontal="right"/>
    </xf>
    <xf numFmtId="164" fontId="1" fillId="0" borderId="0" xfId="0" applyNumberFormat="1" applyFont="1" applyFill="1" applyAlignment="1">
      <alignment horizontal="right"/>
    </xf>
    <xf numFmtId="0" fontId="2" fillId="0" borderId="0" xfId="0" applyFont="1" applyFill="1"/>
    <xf numFmtId="165" fontId="2" fillId="0" borderId="0" xfId="0" applyNumberFormat="1" applyFont="1" applyFill="1" applyAlignment="1">
      <alignment horizontal="right"/>
    </xf>
  </cellXfs>
  <cellStyles count="1">
    <cellStyle name="Normal" xfId="0" builtinId="0"/>
  </cellStyles>
  <dxfs count="5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4" formatCode="0.0%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165" formatCode="_(* #,##0_);_(* \(#,##0\);_(* &quot;-&quot;??_);_(@_)"/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numFmt numFmtId="0" formatCode="General"/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682F26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  <fill>
        <patternFill patternType="none"/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fill>
        <patternFill patternType="solid">
          <fgColor indexed="64"/>
          <bgColor rgb="FF682F26"/>
        </patternFill>
      </fill>
      <alignment horizontal="right" vertical="bottom" textRotation="0" wrapText="0" indent="0" justifyLastLine="0" shrinkToFit="0" readingOrder="0"/>
    </dxf>
    <dxf>
      <font>
        <color rgb="FF682F26"/>
      </font>
      <fill>
        <patternFill>
          <bgColor rgb="FFC3ACA8"/>
        </patternFill>
      </fill>
    </dxf>
    <dxf>
      <font>
        <color rgb="FF682F26"/>
      </font>
    </dxf>
    <dxf>
      <font>
        <b/>
        <i val="0"/>
      </font>
      <border>
        <top style="thin">
          <color rgb="FF682F26"/>
        </top>
      </border>
    </dxf>
  </dxfs>
  <tableStyles count="1" defaultTableStyle="TableStyleMedium2" defaultPivotStyle="PivotStyleLight16">
    <tableStyle name="ABICS table" pivot="0" count="3" xr9:uid="{2B61EB19-5797-47D2-A4D0-07A6F43DC5F2}">
      <tableStyleElement type="totalRow" dxfId="537"/>
      <tableStyleElement type="firstRowStripe" dxfId="536"/>
      <tableStyleElement type="secondRowStripe" dxfId="535"/>
    </tableStyle>
  </tableStyles>
  <colors>
    <mruColors>
      <color rgb="FF682F26"/>
      <color rgb="FFC3AC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Peso Líquido (kg)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'Mensal BL'!$D$6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'Mensal BL'!$C$7:$C$8</c:f>
              <c:strCache>
                <c:ptCount val="1"/>
                <c:pt idx="0">
                  <c:v>jan</c:v>
                </c:pt>
              </c:strCache>
            </c:strRef>
          </c:cat>
          <c:val>
            <c:numRef>
              <c:f>'Mensal BL'!$D$7:$D$8</c:f>
              <c:numCache>
                <c:formatCode>_(* #,##0_);_(* \(#,##0\);_(* "-"??_);_(@_)</c:formatCode>
                <c:ptCount val="1"/>
                <c:pt idx="0">
                  <c:v>6842037.0553000001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F6-45C6-9D1C-978915160275}"/>
            </c:ext>
          </c:extLst>
        </c:ser>
        <c:ser>
          <c:idx val="1"/>
          <c:order val="1"/>
          <c:tx>
            <c:strRef>
              <c:f>'Mensal BL'!$E$6</c:f>
              <c:strCache>
                <c:ptCount val="1"/>
                <c:pt idx="0">
                  <c:v>2023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'Mensal BL'!$C$7:$C$8</c:f>
              <c:strCache>
                <c:ptCount val="1"/>
                <c:pt idx="0">
                  <c:v>jan</c:v>
                </c:pt>
              </c:strCache>
            </c:strRef>
          </c:cat>
          <c:val>
            <c:numRef>
              <c:f>'Mensal BL'!$E$7:$E$8</c:f>
              <c:numCache>
                <c:formatCode>_(* #,##0_);_(* \(#,##0\);_(* "-"??_);_(@_)</c:formatCode>
                <c:ptCount val="1"/>
                <c:pt idx="0">
                  <c:v>7490670.5899999999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F6-45C6-9D1C-978915160275}"/>
            </c:ext>
          </c:extLst>
        </c:ser>
        <c:ser>
          <c:idx val="2"/>
          <c:order val="2"/>
          <c:tx>
            <c:strRef>
              <c:f>'Mensal BL'!$F$6</c:f>
              <c:strCache>
                <c:ptCount val="1"/>
                <c:pt idx="0">
                  <c:v>2022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'Mensal BL'!$C$7:$C$8</c:f>
              <c:strCache>
                <c:ptCount val="1"/>
                <c:pt idx="0">
                  <c:v>jan</c:v>
                </c:pt>
              </c:strCache>
            </c:strRef>
          </c:cat>
          <c:val>
            <c:numRef>
              <c:f>'Mensal BL'!$F$7:$F$8</c:f>
              <c:numCache>
                <c:formatCode>_(* #,##0_);_(* \(#,##0\);_(* "-"??_);_(@_)</c:formatCode>
                <c:ptCount val="1"/>
                <c:pt idx="0">
                  <c:v>7393993.7800000003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F6-45C6-9D1C-97891516027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221491688"/>
        <c:axId val="1221535368"/>
      </c:lineChart>
      <c:catAx>
        <c:axId val="1221491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l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Sacas (un. 60 kg)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'Mensal BL'!$D$27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'Mensal BL'!$C$28:$C$29</c:f>
              <c:strCache>
                <c:ptCount val="1"/>
                <c:pt idx="0">
                  <c:v>jan</c:v>
                </c:pt>
              </c:strCache>
            </c:strRef>
          </c:cat>
          <c:val>
            <c:numRef>
              <c:f>'Mensal BL'!$D$28:$D$29</c:f>
              <c:numCache>
                <c:formatCode>_(* #,##0_);_(* \(#,##0\);_(* "-"??_);_(@_)</c:formatCode>
                <c:ptCount val="1"/>
                <c:pt idx="0">
                  <c:v>293467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2A-41B0-B5F6-B90A30EDCA1C}"/>
            </c:ext>
          </c:extLst>
        </c:ser>
        <c:ser>
          <c:idx val="1"/>
          <c:order val="1"/>
          <c:tx>
            <c:strRef>
              <c:f>'Mensal BL'!$E$27</c:f>
              <c:strCache>
                <c:ptCount val="1"/>
                <c:pt idx="0">
                  <c:v>2023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'Mensal BL'!$C$28:$C$29</c:f>
              <c:strCache>
                <c:ptCount val="1"/>
                <c:pt idx="0">
                  <c:v>jan</c:v>
                </c:pt>
              </c:strCache>
            </c:strRef>
          </c:cat>
          <c:val>
            <c:numRef>
              <c:f>'Mensal BL'!$E$28:$E$29</c:f>
              <c:numCache>
                <c:formatCode>_(* #,##0_);_(* \(#,##0\);_(* "-"??_);_(@_)</c:formatCode>
                <c:ptCount val="1"/>
                <c:pt idx="0">
                  <c:v>324431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2A-41B0-B5F6-B90A30EDCA1C}"/>
            </c:ext>
          </c:extLst>
        </c:ser>
        <c:ser>
          <c:idx val="2"/>
          <c:order val="2"/>
          <c:tx>
            <c:strRef>
              <c:f>'Mensal BL'!$F$27</c:f>
              <c:strCache>
                <c:ptCount val="1"/>
                <c:pt idx="0">
                  <c:v>2022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'Mensal BL'!$C$28:$C$29</c:f>
              <c:strCache>
                <c:ptCount val="1"/>
                <c:pt idx="0">
                  <c:v>jan</c:v>
                </c:pt>
              </c:strCache>
            </c:strRef>
          </c:cat>
          <c:val>
            <c:numRef>
              <c:f>'Mensal BL'!$F$28:$F$29</c:f>
              <c:numCache>
                <c:formatCode>_(* #,##0_);_(* \(#,##0\);_(* "-"??_);_(@_)</c:formatCode>
                <c:ptCount val="1"/>
                <c:pt idx="0">
                  <c:v>320429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2A-41B0-B5F6-B90A30EDCA1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221491688"/>
        <c:axId val="1221535368"/>
      </c:lineChart>
      <c:catAx>
        <c:axId val="1221491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l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Receita Cambial (US$)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'Mensal BL'!$D$48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'Mensal BL'!$C$49:$C$50</c:f>
              <c:strCache>
                <c:ptCount val="1"/>
                <c:pt idx="0">
                  <c:v>jan</c:v>
                </c:pt>
              </c:strCache>
            </c:strRef>
          </c:cat>
          <c:val>
            <c:numRef>
              <c:f>'Mensal BL'!$D$49:$D$50</c:f>
              <c:numCache>
                <c:formatCode>_(* #,##0_);_(* \(#,##0\);_(* "-"??_);_(@_)</c:formatCode>
                <c:ptCount val="1"/>
                <c:pt idx="0">
                  <c:v>55795886.883699998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66-4731-BB09-77E419CAC380}"/>
            </c:ext>
          </c:extLst>
        </c:ser>
        <c:ser>
          <c:idx val="1"/>
          <c:order val="1"/>
          <c:tx>
            <c:strRef>
              <c:f>'Mensal BL'!$E$48</c:f>
              <c:strCache>
                <c:ptCount val="1"/>
                <c:pt idx="0">
                  <c:v>2023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'Mensal BL'!$C$49:$C$50</c:f>
              <c:strCache>
                <c:ptCount val="1"/>
                <c:pt idx="0">
                  <c:v>jan</c:v>
                </c:pt>
              </c:strCache>
            </c:strRef>
          </c:cat>
          <c:val>
            <c:numRef>
              <c:f>'Mensal BL'!$E$49:$E$50</c:f>
              <c:numCache>
                <c:formatCode>_(* #,##0_);_(* \(#,##0\);_(* "-"??_);_(@_)</c:formatCode>
                <c:ptCount val="1"/>
                <c:pt idx="0">
                  <c:v>61258619.975500003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66-4731-BB09-77E419CAC380}"/>
            </c:ext>
          </c:extLst>
        </c:ser>
        <c:ser>
          <c:idx val="2"/>
          <c:order val="2"/>
          <c:tx>
            <c:strRef>
              <c:f>'Mensal BL'!$F$48</c:f>
              <c:strCache>
                <c:ptCount val="1"/>
                <c:pt idx="0">
                  <c:v>2022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'Mensal BL'!$C$49:$C$50</c:f>
              <c:strCache>
                <c:ptCount val="1"/>
                <c:pt idx="0">
                  <c:v>jan</c:v>
                </c:pt>
              </c:strCache>
            </c:strRef>
          </c:cat>
          <c:val>
            <c:numRef>
              <c:f>'Mensal BL'!$F$49:$F$50</c:f>
              <c:numCache>
                <c:formatCode>_(* #,##0_);_(* \(#,##0\);_(* "-"??_);_(@_)</c:formatCode>
                <c:ptCount val="1"/>
                <c:pt idx="0">
                  <c:v>52425681.520000003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66-4731-BB09-77E419CAC38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221491688"/>
        <c:axId val="1221535368"/>
      </c:lineChart>
      <c:catAx>
        <c:axId val="1221491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l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Peso Líquido (kg)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'País Mensal BL'!$C$96:$C$105</c:f>
              <c:strCache>
                <c:ptCount val="10"/>
                <c:pt idx="0">
                  <c:v>Emirados Árabes Unidos</c:v>
                </c:pt>
                <c:pt idx="1">
                  <c:v>Indonésia</c:v>
                </c:pt>
                <c:pt idx="2">
                  <c:v>Alemanha</c:v>
                </c:pt>
                <c:pt idx="3">
                  <c:v>Rússia</c:v>
                </c:pt>
                <c:pt idx="4">
                  <c:v>Países Baixos (Holanda)</c:v>
                </c:pt>
                <c:pt idx="5">
                  <c:v>Chile</c:v>
                </c:pt>
                <c:pt idx="6">
                  <c:v>Peru</c:v>
                </c:pt>
                <c:pt idx="7">
                  <c:v>Japão</c:v>
                </c:pt>
                <c:pt idx="8">
                  <c:v>Polônia</c:v>
                </c:pt>
                <c:pt idx="9">
                  <c:v>Estados Unidos</c:v>
                </c:pt>
              </c:strCache>
            </c:strRef>
          </c:cat>
          <c:val>
            <c:numRef>
              <c:f>'País Mensal BL'!$D$96:$D$105</c:f>
              <c:numCache>
                <c:formatCode>General</c:formatCode>
                <c:ptCount val="10"/>
                <c:pt idx="0">
                  <c:v>207776.2</c:v>
                </c:pt>
                <c:pt idx="1">
                  <c:v>208080</c:v>
                </c:pt>
                <c:pt idx="2">
                  <c:v>271419</c:v>
                </c:pt>
                <c:pt idx="3">
                  <c:v>273448.40000000002</c:v>
                </c:pt>
                <c:pt idx="4">
                  <c:v>288850.40000000002</c:v>
                </c:pt>
                <c:pt idx="5">
                  <c:v>316689.03999999998</c:v>
                </c:pt>
                <c:pt idx="6">
                  <c:v>326724.96000000002</c:v>
                </c:pt>
                <c:pt idx="7">
                  <c:v>457160</c:v>
                </c:pt>
                <c:pt idx="8">
                  <c:v>485825</c:v>
                </c:pt>
                <c:pt idx="9">
                  <c:v>1370398.4639999999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8C8-4BAF-9BCD-ACBE6E8109E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Sacas (un. 60 kg)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'País Mensal BL'!$C$202:$C$211</c:f>
              <c:strCache>
                <c:ptCount val="10"/>
                <c:pt idx="0">
                  <c:v>Emirados Árabes Unidos</c:v>
                </c:pt>
                <c:pt idx="1">
                  <c:v>Indonésia</c:v>
                </c:pt>
                <c:pt idx="2">
                  <c:v>Alemanha</c:v>
                </c:pt>
                <c:pt idx="3">
                  <c:v>Rússia</c:v>
                </c:pt>
                <c:pt idx="4">
                  <c:v>Países Baixos (Holanda)</c:v>
                </c:pt>
                <c:pt idx="5">
                  <c:v>Chile</c:v>
                </c:pt>
                <c:pt idx="6">
                  <c:v>Peru</c:v>
                </c:pt>
                <c:pt idx="7">
                  <c:v>Japão</c:v>
                </c:pt>
                <c:pt idx="8">
                  <c:v>Polônia</c:v>
                </c:pt>
                <c:pt idx="9">
                  <c:v>Estados Unidos</c:v>
                </c:pt>
              </c:strCache>
            </c:strRef>
          </c:cat>
          <c:val>
            <c:numRef>
              <c:f>'País Mensal BL'!$D$202:$D$211</c:f>
              <c:numCache>
                <c:formatCode>General</c:formatCode>
                <c:ptCount val="10"/>
                <c:pt idx="0">
                  <c:v>9001</c:v>
                </c:pt>
                <c:pt idx="1">
                  <c:v>9017</c:v>
                </c:pt>
                <c:pt idx="2">
                  <c:v>11763</c:v>
                </c:pt>
                <c:pt idx="3">
                  <c:v>11848</c:v>
                </c:pt>
                <c:pt idx="4">
                  <c:v>12517</c:v>
                </c:pt>
                <c:pt idx="5">
                  <c:v>13418</c:v>
                </c:pt>
                <c:pt idx="6">
                  <c:v>14158</c:v>
                </c:pt>
                <c:pt idx="7">
                  <c:v>19811</c:v>
                </c:pt>
                <c:pt idx="8">
                  <c:v>21058</c:v>
                </c:pt>
                <c:pt idx="9">
                  <c:v>59389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06-4898-B8F6-AACC9F8D8FA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Receita Cambial (US$)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'País Mensal BL'!$C$308:$C$317</c:f>
              <c:strCache>
                <c:ptCount val="10"/>
                <c:pt idx="0">
                  <c:v>Emirados Árabes Unidos</c:v>
                </c:pt>
                <c:pt idx="1">
                  <c:v>Canadá</c:v>
                </c:pt>
                <c:pt idx="2">
                  <c:v>Peru</c:v>
                </c:pt>
                <c:pt idx="3">
                  <c:v>Rússia</c:v>
                </c:pt>
                <c:pt idx="4">
                  <c:v>Alemanha</c:v>
                </c:pt>
                <c:pt idx="5">
                  <c:v>Países Baixos (Holanda)</c:v>
                </c:pt>
                <c:pt idx="6">
                  <c:v>Chile</c:v>
                </c:pt>
                <c:pt idx="7">
                  <c:v>Japão</c:v>
                </c:pt>
                <c:pt idx="8">
                  <c:v>Polônia</c:v>
                </c:pt>
                <c:pt idx="9">
                  <c:v>Estados Unidos</c:v>
                </c:pt>
              </c:strCache>
            </c:strRef>
          </c:cat>
          <c:val>
            <c:numRef>
              <c:f>'País Mensal BL'!$D$308:$D$317</c:f>
              <c:numCache>
                <c:formatCode>General</c:formatCode>
                <c:ptCount val="10"/>
                <c:pt idx="0">
                  <c:v>1736245.4452</c:v>
                </c:pt>
                <c:pt idx="1">
                  <c:v>1932368.5556999999</c:v>
                </c:pt>
                <c:pt idx="2">
                  <c:v>1953665.6</c:v>
                </c:pt>
                <c:pt idx="3">
                  <c:v>2319977.4300000002</c:v>
                </c:pt>
                <c:pt idx="4">
                  <c:v>2584321.61</c:v>
                </c:pt>
                <c:pt idx="5">
                  <c:v>2602393.75</c:v>
                </c:pt>
                <c:pt idx="6">
                  <c:v>2679540.73</c:v>
                </c:pt>
                <c:pt idx="7">
                  <c:v>3392038.59</c:v>
                </c:pt>
                <c:pt idx="8">
                  <c:v>3981090.69</c:v>
                </c:pt>
                <c:pt idx="9">
                  <c:v>11728159.369999999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7B-427C-BFFA-F7CBE0CF38B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Peso Líquido (kg)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'País Acumulado BL'!$C$96:$C$105</c:f>
              <c:strCache>
                <c:ptCount val="10"/>
                <c:pt idx="0">
                  <c:v>Emirados Árabes Unidos</c:v>
                </c:pt>
                <c:pt idx="1">
                  <c:v>Indonésia</c:v>
                </c:pt>
                <c:pt idx="2">
                  <c:v>Alemanha</c:v>
                </c:pt>
                <c:pt idx="3">
                  <c:v>Rússia</c:v>
                </c:pt>
                <c:pt idx="4">
                  <c:v>Países Baixos (Holanda)</c:v>
                </c:pt>
                <c:pt idx="5">
                  <c:v>Chile</c:v>
                </c:pt>
                <c:pt idx="6">
                  <c:v>Peru</c:v>
                </c:pt>
                <c:pt idx="7">
                  <c:v>Japão</c:v>
                </c:pt>
                <c:pt idx="8">
                  <c:v>Polônia</c:v>
                </c:pt>
                <c:pt idx="9">
                  <c:v>Estados Unidos</c:v>
                </c:pt>
              </c:strCache>
            </c:strRef>
          </c:cat>
          <c:val>
            <c:numRef>
              <c:f>'País Acumulado BL'!$D$96:$D$105</c:f>
              <c:numCache>
                <c:formatCode>General</c:formatCode>
                <c:ptCount val="10"/>
                <c:pt idx="0">
                  <c:v>207776.2</c:v>
                </c:pt>
                <c:pt idx="1">
                  <c:v>208080</c:v>
                </c:pt>
                <c:pt idx="2">
                  <c:v>271419</c:v>
                </c:pt>
                <c:pt idx="3">
                  <c:v>273448.40000000002</c:v>
                </c:pt>
                <c:pt idx="4">
                  <c:v>288850.40000000002</c:v>
                </c:pt>
                <c:pt idx="5">
                  <c:v>316689.03999999998</c:v>
                </c:pt>
                <c:pt idx="6">
                  <c:v>326724.96000000002</c:v>
                </c:pt>
                <c:pt idx="7">
                  <c:v>457160</c:v>
                </c:pt>
                <c:pt idx="8">
                  <c:v>485825</c:v>
                </c:pt>
                <c:pt idx="9">
                  <c:v>1370398.4639999999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BA-4040-A31B-762589C6883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Sacas (un. 60 kg)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'País Acumulado BL'!$C$202:$C$211</c:f>
              <c:strCache>
                <c:ptCount val="10"/>
                <c:pt idx="0">
                  <c:v>Emirados Árabes Unidos</c:v>
                </c:pt>
                <c:pt idx="1">
                  <c:v>Indonésia</c:v>
                </c:pt>
                <c:pt idx="2">
                  <c:v>Alemanha</c:v>
                </c:pt>
                <c:pt idx="3">
                  <c:v>Rússia</c:v>
                </c:pt>
                <c:pt idx="4">
                  <c:v>Países Baixos (Holanda)</c:v>
                </c:pt>
                <c:pt idx="5">
                  <c:v>Chile</c:v>
                </c:pt>
                <c:pt idx="6">
                  <c:v>Peru</c:v>
                </c:pt>
                <c:pt idx="7">
                  <c:v>Japão</c:v>
                </c:pt>
                <c:pt idx="8">
                  <c:v>Polônia</c:v>
                </c:pt>
                <c:pt idx="9">
                  <c:v>Estados Unidos</c:v>
                </c:pt>
              </c:strCache>
            </c:strRef>
          </c:cat>
          <c:val>
            <c:numRef>
              <c:f>'País Acumulado BL'!$D$202:$D$211</c:f>
              <c:numCache>
                <c:formatCode>General</c:formatCode>
                <c:ptCount val="10"/>
                <c:pt idx="0">
                  <c:v>9001</c:v>
                </c:pt>
                <c:pt idx="1">
                  <c:v>9017</c:v>
                </c:pt>
                <c:pt idx="2">
                  <c:v>11763</c:v>
                </c:pt>
                <c:pt idx="3">
                  <c:v>11848</c:v>
                </c:pt>
                <c:pt idx="4">
                  <c:v>12517</c:v>
                </c:pt>
                <c:pt idx="5">
                  <c:v>13418</c:v>
                </c:pt>
                <c:pt idx="6">
                  <c:v>14158</c:v>
                </c:pt>
                <c:pt idx="7">
                  <c:v>19811</c:v>
                </c:pt>
                <c:pt idx="8">
                  <c:v>21058</c:v>
                </c:pt>
                <c:pt idx="9">
                  <c:v>59389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FD-4A55-9CB8-44BDF5F26AC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Receita Cambial (US$)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'País Acumulado BL'!$C$308:$C$317</c:f>
              <c:strCache>
                <c:ptCount val="10"/>
                <c:pt idx="0">
                  <c:v>Emirados Árabes Unidos</c:v>
                </c:pt>
                <c:pt idx="1">
                  <c:v>Canadá</c:v>
                </c:pt>
                <c:pt idx="2">
                  <c:v>Peru</c:v>
                </c:pt>
                <c:pt idx="3">
                  <c:v>Rússia</c:v>
                </c:pt>
                <c:pt idx="4">
                  <c:v>Alemanha</c:v>
                </c:pt>
                <c:pt idx="5">
                  <c:v>Países Baixos (Holanda)</c:v>
                </c:pt>
                <c:pt idx="6">
                  <c:v>Chile</c:v>
                </c:pt>
                <c:pt idx="7">
                  <c:v>Japão</c:v>
                </c:pt>
                <c:pt idx="8">
                  <c:v>Polônia</c:v>
                </c:pt>
                <c:pt idx="9">
                  <c:v>Estados Unidos</c:v>
                </c:pt>
              </c:strCache>
            </c:strRef>
          </c:cat>
          <c:val>
            <c:numRef>
              <c:f>'País Acumulado BL'!$D$308:$D$317</c:f>
              <c:numCache>
                <c:formatCode>General</c:formatCode>
                <c:ptCount val="10"/>
                <c:pt idx="0">
                  <c:v>1736245.4452</c:v>
                </c:pt>
                <c:pt idx="1">
                  <c:v>1932368.5556999999</c:v>
                </c:pt>
                <c:pt idx="2">
                  <c:v>1953665.6</c:v>
                </c:pt>
                <c:pt idx="3">
                  <c:v>2319977.4300000002</c:v>
                </c:pt>
                <c:pt idx="4">
                  <c:v>2584321.61</c:v>
                </c:pt>
                <c:pt idx="5">
                  <c:v>2602393.75</c:v>
                </c:pt>
                <c:pt idx="6">
                  <c:v>2679540.73</c:v>
                </c:pt>
                <c:pt idx="7">
                  <c:v>3392038.59</c:v>
                </c:pt>
                <c:pt idx="8">
                  <c:v>3981090.69</c:v>
                </c:pt>
                <c:pt idx="9">
                  <c:v>11728159.369999999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94-4434-9A2F-91B20262617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Peso Líquido (kg)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'Produto Mensal BL'!$C$14:$C$17</c:f>
              <c:strCache>
                <c:ptCount val="4"/>
                <c:pt idx="0">
                  <c:v>COFFEE PREPARATION</c:v>
                </c:pt>
                <c:pt idx="1">
                  <c:v>EXTRACT</c:v>
                </c:pt>
                <c:pt idx="2">
                  <c:v>FREEZE DRIED</c:v>
                </c:pt>
                <c:pt idx="3">
                  <c:v>SPRAY DRIED</c:v>
                </c:pt>
              </c:strCache>
            </c:strRef>
          </c:cat>
          <c:val>
            <c:numRef>
              <c:f>'Produto Mensal BL'!$D$14:$D$17</c:f>
              <c:numCache>
                <c:formatCode>General</c:formatCode>
                <c:ptCount val="4"/>
                <c:pt idx="0">
                  <c:v>16510.8</c:v>
                </c:pt>
                <c:pt idx="1">
                  <c:v>238575</c:v>
                </c:pt>
                <c:pt idx="2">
                  <c:v>1590200.44</c:v>
                </c:pt>
                <c:pt idx="3">
                  <c:v>4996750.8152999999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96-4F6C-9510-8A7935C82AC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Sacas (un. 60 kg)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'Produto Mensal BL'!$C$38:$C$47</c:f>
              <c:strCache>
                <c:ptCount val="4"/>
                <c:pt idx="0">
                  <c:v>COFFEE PREPARATION</c:v>
                </c:pt>
                <c:pt idx="1">
                  <c:v>EXTRACT</c:v>
                </c:pt>
                <c:pt idx="2">
                  <c:v>FREEZE DRIED</c:v>
                </c:pt>
                <c:pt idx="3">
                  <c:v>SPRAY DRIED</c:v>
                </c:pt>
              </c:strCache>
            </c:strRef>
          </c:cat>
          <c:val>
            <c:numRef>
              <c:f>'Produto Mensal BL'!$D$38:$D$41</c:f>
              <c:numCache>
                <c:formatCode>General</c:formatCode>
                <c:ptCount val="4"/>
                <c:pt idx="0">
                  <c:v>229</c:v>
                </c:pt>
                <c:pt idx="1">
                  <c:v>10339</c:v>
                </c:pt>
                <c:pt idx="2">
                  <c:v>68911</c:v>
                </c:pt>
                <c:pt idx="3">
                  <c:v>213988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4D-4486-BC06-E77520BF0BA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Receita Cambial (US$)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'Produto Mensal BL'!$C$62:$C$71</c:f>
              <c:strCache>
                <c:ptCount val="4"/>
                <c:pt idx="0">
                  <c:v>COFFEE PREPARATION</c:v>
                </c:pt>
                <c:pt idx="1">
                  <c:v>EXTRACT</c:v>
                </c:pt>
                <c:pt idx="2">
                  <c:v>FREEZE DRIED</c:v>
                </c:pt>
                <c:pt idx="3">
                  <c:v>SPRAY DRIED</c:v>
                </c:pt>
              </c:strCache>
            </c:strRef>
          </c:cat>
          <c:val>
            <c:numRef>
              <c:f>'Produto Mensal BL'!$D$62:$D$65</c:f>
              <c:numCache>
                <c:formatCode>General</c:formatCode>
                <c:ptCount val="4"/>
                <c:pt idx="0">
                  <c:v>117262.62</c:v>
                </c:pt>
                <c:pt idx="1">
                  <c:v>1112024.45</c:v>
                </c:pt>
                <c:pt idx="2">
                  <c:v>14581314.609999999</c:v>
                </c:pt>
                <c:pt idx="3">
                  <c:v>39985285.203699999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63-4B72-8EF8-50432777EBA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Peso Líquido (kg)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'Produto Acumulado BL'!$C$14:$C$17</c:f>
              <c:strCache>
                <c:ptCount val="4"/>
                <c:pt idx="0">
                  <c:v>COFFEE PREPARATION</c:v>
                </c:pt>
                <c:pt idx="1">
                  <c:v>EXTRACT</c:v>
                </c:pt>
                <c:pt idx="2">
                  <c:v>FREEZE DRIED</c:v>
                </c:pt>
                <c:pt idx="3">
                  <c:v>SPRAY DRIED</c:v>
                </c:pt>
              </c:strCache>
            </c:strRef>
          </c:cat>
          <c:val>
            <c:numRef>
              <c:f>'Produto Acumulado BL'!$D$14:$D$17</c:f>
              <c:numCache>
                <c:formatCode>General</c:formatCode>
                <c:ptCount val="4"/>
                <c:pt idx="0">
                  <c:v>16510.8</c:v>
                </c:pt>
                <c:pt idx="1">
                  <c:v>238575</c:v>
                </c:pt>
                <c:pt idx="2">
                  <c:v>1590200.44</c:v>
                </c:pt>
                <c:pt idx="3">
                  <c:v>4996750.8152999999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E4-423E-B10F-6AB012C50DA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Sacas (un. 60 kg)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'Produto Acumulado BL'!$C$38:$C$47</c:f>
              <c:strCache>
                <c:ptCount val="4"/>
                <c:pt idx="0">
                  <c:v>COFFEE PREPARATION</c:v>
                </c:pt>
                <c:pt idx="1">
                  <c:v>EXTRACT</c:v>
                </c:pt>
                <c:pt idx="2">
                  <c:v>FREEZE DRIED</c:v>
                </c:pt>
                <c:pt idx="3">
                  <c:v>SPRAY DRIED</c:v>
                </c:pt>
              </c:strCache>
            </c:strRef>
          </c:cat>
          <c:val>
            <c:numRef>
              <c:f>'Produto Acumulado BL'!$D$38:$D$41</c:f>
              <c:numCache>
                <c:formatCode>General</c:formatCode>
                <c:ptCount val="4"/>
                <c:pt idx="0">
                  <c:v>229</c:v>
                </c:pt>
                <c:pt idx="1">
                  <c:v>10339</c:v>
                </c:pt>
                <c:pt idx="2">
                  <c:v>68911</c:v>
                </c:pt>
                <c:pt idx="3">
                  <c:v>213988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CF-4372-9F4B-7CD1ADAEA07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pt-BR">
                <a:solidFill>
                  <a:schemeClr val="accent1"/>
                </a:solidFill>
              </a:rPr>
              <a:t>Receita Cambial (US$) por BL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'Produto Acumulado BL'!$C$62:$C$71</c:f>
              <c:strCache>
                <c:ptCount val="4"/>
                <c:pt idx="0">
                  <c:v>COFFEE PREPARATION</c:v>
                </c:pt>
                <c:pt idx="1">
                  <c:v>EXTRACT</c:v>
                </c:pt>
                <c:pt idx="2">
                  <c:v>FREEZE DRIED</c:v>
                </c:pt>
                <c:pt idx="3">
                  <c:v>SPRAY DRIED</c:v>
                </c:pt>
              </c:strCache>
            </c:strRef>
          </c:cat>
          <c:val>
            <c:numRef>
              <c:f>'Produto Acumulado BL'!$D$62:$D$65</c:f>
              <c:numCache>
                <c:formatCode>General</c:formatCode>
                <c:ptCount val="4"/>
                <c:pt idx="0">
                  <c:v>117262.62</c:v>
                </c:pt>
                <c:pt idx="1">
                  <c:v>1112024.45</c:v>
                </c:pt>
                <c:pt idx="2">
                  <c:v>14581314.609999999</c:v>
                </c:pt>
                <c:pt idx="3">
                  <c:v>39985285.203699999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F1-4ADF-AEAF-BEC5A0742E5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221491688"/>
        <c:axId val="1221535368"/>
      </c:barChart>
      <c:catAx>
        <c:axId val="122149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535368"/>
        <c:crosses val="autoZero"/>
        <c:auto val="1"/>
        <c:lblAlgn val="ctr"/>
        <c:lblOffset val="100"/>
        <c:noMultiLvlLbl val="0"/>
      </c:catAx>
      <c:valAx>
        <c:axId val="122153536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4916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image" Target="../media/image1.png"/><Relationship Id="rId4" Type="http://schemas.openxmlformats.org/officeDocument/2006/relationships/chart" Target="../charts/chart1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48260</xdr:rowOff>
    </xdr:from>
    <xdr:to>
      <xdr:col>10</xdr:col>
      <xdr:colOff>0</xdr:colOff>
      <xdr:row>4</xdr:row>
      <xdr:rowOff>139699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E003BA32-88C7-402D-9C42-5F700317D8EC}"/>
            </a:ext>
            <a:ext uri="{147F2762-F138-4A5C-976F-8EAC2B608ADB}">
              <a16:predDERef xmlns:a16="http://schemas.microsoft.com/office/drawing/2014/main" pred="{D0A6F931-E9F1-4B20-81F3-9729EF8C8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62800" y="50800"/>
          <a:ext cx="0" cy="985519"/>
        </a:xfrm>
        <a:prstGeom prst="rect">
          <a:avLst/>
        </a:prstGeom>
      </xdr:spPr>
    </xdr:pic>
    <xdr:clientData/>
  </xdr:twoCellAnchor>
  <xdr:twoCellAnchor>
    <xdr:from>
      <xdr:col>2</xdr:col>
      <xdr:colOff>1270</xdr:colOff>
      <xdr:row>10</xdr:row>
      <xdr:rowOff>1270</xdr:rowOff>
    </xdr:from>
    <xdr:to>
      <xdr:col>7</xdr:col>
      <xdr:colOff>946608</xdr:colOff>
      <xdr:row>23</xdr:row>
      <xdr:rowOff>1270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C2DFE4E-CC98-4716-AEB7-A3716C89367F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31</xdr:row>
      <xdr:rowOff>0</xdr:rowOff>
    </xdr:from>
    <xdr:to>
      <xdr:col>7</xdr:col>
      <xdr:colOff>944879</xdr:colOff>
      <xdr:row>44</xdr:row>
      <xdr:rowOff>0</xdr:rowOff>
    </xdr:to>
    <xdr:graphicFrame macro="">
      <xdr:nvGraphicFramePr>
        <xdr:cNvPr id="5" name="Gráfico 3">
          <a:extLst>
            <a:ext uri="{FF2B5EF4-FFF2-40B4-BE49-F238E27FC236}">
              <a16:creationId xmlns:a16="http://schemas.microsoft.com/office/drawing/2014/main" id="{B6E7800D-2232-43E9-855F-1B4AB6E0B3A7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0</xdr:colOff>
      <xdr:row>52</xdr:row>
      <xdr:rowOff>0</xdr:rowOff>
    </xdr:from>
    <xdr:to>
      <xdr:col>7</xdr:col>
      <xdr:colOff>942339</xdr:colOff>
      <xdr:row>65</xdr:row>
      <xdr:rowOff>0</xdr:rowOff>
    </xdr:to>
    <xdr:graphicFrame macro="">
      <xdr:nvGraphicFramePr>
        <xdr:cNvPr id="6" name="Gráfico 3">
          <a:extLst>
            <a:ext uri="{FF2B5EF4-FFF2-40B4-BE49-F238E27FC236}">
              <a16:creationId xmlns:a16="http://schemas.microsoft.com/office/drawing/2014/main" id="{D99A5B38-1B48-46AE-818B-9CA306F1433E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7</xdr:col>
      <xdr:colOff>309880</xdr:colOff>
      <xdr:row>0</xdr:row>
      <xdr:rowOff>138430</xdr:rowOff>
    </xdr:from>
    <xdr:to>
      <xdr:col>8</xdr:col>
      <xdr:colOff>24789</xdr:colOff>
      <xdr:row>2</xdr:row>
      <xdr:rowOff>137460</xdr:rowOff>
    </xdr:to>
    <xdr:pic>
      <xdr:nvPicPr>
        <xdr:cNvPr id="7" name="Picture 6" descr="Picture">
          <a:extLst>
            <a:ext uri="{FF2B5EF4-FFF2-40B4-BE49-F238E27FC236}">
              <a16:creationId xmlns:a16="http://schemas.microsoft.com/office/drawing/2014/main" id="{97A9C53A-59A0-42AB-8432-B140D31DD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87110" y="135890"/>
          <a:ext cx="640739" cy="6429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48260</xdr:rowOff>
    </xdr:from>
    <xdr:to>
      <xdr:col>10</xdr:col>
      <xdr:colOff>0</xdr:colOff>
      <xdr:row>4</xdr:row>
      <xdr:rowOff>139699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144663BE-1D72-4CA3-9CC1-57EF2D07126A}"/>
            </a:ext>
            <a:ext uri="{147F2762-F138-4A5C-976F-8EAC2B608ADB}">
              <a16:predDERef xmlns:a16="http://schemas.microsoft.com/office/drawing/2014/main" pred="{D0A6F931-E9F1-4B20-81F3-9729EF8C8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62800" y="50800"/>
          <a:ext cx="0" cy="985519"/>
        </a:xfrm>
        <a:prstGeom prst="rect">
          <a:avLst/>
        </a:prstGeom>
      </xdr:spPr>
    </xdr:pic>
    <xdr:clientData/>
  </xdr:twoCellAnchor>
  <xdr:twoCellAnchor>
    <xdr:from>
      <xdr:col>2</xdr:col>
      <xdr:colOff>1270</xdr:colOff>
      <xdr:row>95</xdr:row>
      <xdr:rowOff>1270</xdr:rowOff>
    </xdr:from>
    <xdr:to>
      <xdr:col>7</xdr:col>
      <xdr:colOff>946608</xdr:colOff>
      <xdr:row>108</xdr:row>
      <xdr:rowOff>1270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BDB8B274-73F9-4C4D-A3AA-93A701C28740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201</xdr:row>
      <xdr:rowOff>0</xdr:rowOff>
    </xdr:from>
    <xdr:to>
      <xdr:col>7</xdr:col>
      <xdr:colOff>944879</xdr:colOff>
      <xdr:row>214</xdr:row>
      <xdr:rowOff>0</xdr:rowOff>
    </xdr:to>
    <xdr:graphicFrame macro="">
      <xdr:nvGraphicFramePr>
        <xdr:cNvPr id="5" name="Gráfico 3">
          <a:extLst>
            <a:ext uri="{FF2B5EF4-FFF2-40B4-BE49-F238E27FC236}">
              <a16:creationId xmlns:a16="http://schemas.microsoft.com/office/drawing/2014/main" id="{5C4261DD-C204-4E5F-8D16-3FEA54957302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0</xdr:colOff>
      <xdr:row>307</xdr:row>
      <xdr:rowOff>0</xdr:rowOff>
    </xdr:from>
    <xdr:to>
      <xdr:col>7</xdr:col>
      <xdr:colOff>942339</xdr:colOff>
      <xdr:row>320</xdr:row>
      <xdr:rowOff>0</xdr:rowOff>
    </xdr:to>
    <xdr:graphicFrame macro="">
      <xdr:nvGraphicFramePr>
        <xdr:cNvPr id="6" name="Gráfico 3">
          <a:extLst>
            <a:ext uri="{FF2B5EF4-FFF2-40B4-BE49-F238E27FC236}">
              <a16:creationId xmlns:a16="http://schemas.microsoft.com/office/drawing/2014/main" id="{24BAA85A-9723-467A-882C-062423D50DA8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7</xdr:col>
      <xdr:colOff>309880</xdr:colOff>
      <xdr:row>0</xdr:row>
      <xdr:rowOff>138430</xdr:rowOff>
    </xdr:from>
    <xdr:to>
      <xdr:col>8</xdr:col>
      <xdr:colOff>14629</xdr:colOff>
      <xdr:row>2</xdr:row>
      <xdr:rowOff>114600</xdr:rowOff>
    </xdr:to>
    <xdr:pic>
      <xdr:nvPicPr>
        <xdr:cNvPr id="10" name="Picture 9" descr="Picture">
          <a:extLst>
            <a:ext uri="{FF2B5EF4-FFF2-40B4-BE49-F238E27FC236}">
              <a16:creationId xmlns:a16="http://schemas.microsoft.com/office/drawing/2014/main" id="{E99791E4-6EE8-4A56-A110-C4C63DAFB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80630" y="135890"/>
          <a:ext cx="645819" cy="6340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48260</xdr:rowOff>
    </xdr:from>
    <xdr:to>
      <xdr:col>10</xdr:col>
      <xdr:colOff>0</xdr:colOff>
      <xdr:row>4</xdr:row>
      <xdr:rowOff>121919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8936FEB-3C70-4C9B-BA31-FAD6F31564D4}"/>
            </a:ext>
            <a:ext uri="{147F2762-F138-4A5C-976F-8EAC2B608ADB}">
              <a16:predDERef xmlns:a16="http://schemas.microsoft.com/office/drawing/2014/main" pred="{D0A6F931-E9F1-4B20-81F3-9729EF8C8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6320" y="50800"/>
          <a:ext cx="0" cy="990599"/>
        </a:xfrm>
        <a:prstGeom prst="rect">
          <a:avLst/>
        </a:prstGeom>
      </xdr:spPr>
    </xdr:pic>
    <xdr:clientData/>
  </xdr:twoCellAnchor>
  <xdr:twoCellAnchor>
    <xdr:from>
      <xdr:col>2</xdr:col>
      <xdr:colOff>1270</xdr:colOff>
      <xdr:row>95</xdr:row>
      <xdr:rowOff>1270</xdr:rowOff>
    </xdr:from>
    <xdr:to>
      <xdr:col>7</xdr:col>
      <xdr:colOff>946608</xdr:colOff>
      <xdr:row>108</xdr:row>
      <xdr:rowOff>1270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DAF1010-06C2-4BF9-AF0B-1ED9220F4C3D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201</xdr:row>
      <xdr:rowOff>0</xdr:rowOff>
    </xdr:from>
    <xdr:to>
      <xdr:col>7</xdr:col>
      <xdr:colOff>944879</xdr:colOff>
      <xdr:row>214</xdr:row>
      <xdr:rowOff>0</xdr:rowOff>
    </xdr:to>
    <xdr:graphicFrame macro="">
      <xdr:nvGraphicFramePr>
        <xdr:cNvPr id="5" name="Gráfico 3">
          <a:extLst>
            <a:ext uri="{FF2B5EF4-FFF2-40B4-BE49-F238E27FC236}">
              <a16:creationId xmlns:a16="http://schemas.microsoft.com/office/drawing/2014/main" id="{A6B71D50-20AB-4E62-8151-DC9391B209FE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0</xdr:colOff>
      <xdr:row>307</xdr:row>
      <xdr:rowOff>0</xdr:rowOff>
    </xdr:from>
    <xdr:to>
      <xdr:col>7</xdr:col>
      <xdr:colOff>942339</xdr:colOff>
      <xdr:row>320</xdr:row>
      <xdr:rowOff>0</xdr:rowOff>
    </xdr:to>
    <xdr:graphicFrame macro="">
      <xdr:nvGraphicFramePr>
        <xdr:cNvPr id="6" name="Gráfico 3">
          <a:extLst>
            <a:ext uri="{FF2B5EF4-FFF2-40B4-BE49-F238E27FC236}">
              <a16:creationId xmlns:a16="http://schemas.microsoft.com/office/drawing/2014/main" id="{C88F6540-3D77-460E-BCF6-3A9E121FD8C8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7</xdr:col>
      <xdr:colOff>309880</xdr:colOff>
      <xdr:row>0</xdr:row>
      <xdr:rowOff>138430</xdr:rowOff>
    </xdr:from>
    <xdr:to>
      <xdr:col>8</xdr:col>
      <xdr:colOff>14629</xdr:colOff>
      <xdr:row>2</xdr:row>
      <xdr:rowOff>112060</xdr:rowOff>
    </xdr:to>
    <xdr:pic>
      <xdr:nvPicPr>
        <xdr:cNvPr id="7" name="Picture 6" descr="Picture">
          <a:extLst>
            <a:ext uri="{FF2B5EF4-FFF2-40B4-BE49-F238E27FC236}">
              <a16:creationId xmlns:a16="http://schemas.microsoft.com/office/drawing/2014/main" id="{77CBE82F-8CFF-46C5-83C1-761A7587B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87110" y="135890"/>
          <a:ext cx="643279" cy="6314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0</xdr:row>
      <xdr:rowOff>48260</xdr:rowOff>
    </xdr:from>
    <xdr:to>
      <xdr:col>15</xdr:col>
      <xdr:colOff>0</xdr:colOff>
      <xdr:row>5</xdr:row>
      <xdr:rowOff>3809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68181F77-B475-4A67-A1EA-91C4A93A5C34}"/>
            </a:ext>
            <a:ext uri="{147F2762-F138-4A5C-976F-8EAC2B608ADB}">
              <a16:predDERef xmlns:a16="http://schemas.microsoft.com/office/drawing/2014/main" pred="{D0A6F931-E9F1-4B20-81F3-9729EF8C8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6320" y="50800"/>
          <a:ext cx="0" cy="993139"/>
        </a:xfrm>
        <a:prstGeom prst="rect">
          <a:avLst/>
        </a:prstGeom>
      </xdr:spPr>
    </xdr:pic>
    <xdr:clientData/>
  </xdr:twoCellAnchor>
  <xdr:twoCellAnchor editAs="oneCell">
    <xdr:from>
      <xdr:col>12</xdr:col>
      <xdr:colOff>645795</xdr:colOff>
      <xdr:row>0</xdr:row>
      <xdr:rowOff>136524</xdr:rowOff>
    </xdr:from>
    <xdr:to>
      <xdr:col>12</xdr:col>
      <xdr:colOff>1236645</xdr:colOff>
      <xdr:row>2</xdr:row>
      <xdr:rowOff>143809</xdr:rowOff>
    </xdr:to>
    <xdr:pic>
      <xdr:nvPicPr>
        <xdr:cNvPr id="5" name="Picture 4" descr="Picture">
          <a:extLst>
            <a:ext uri="{FF2B5EF4-FFF2-40B4-BE49-F238E27FC236}">
              <a16:creationId xmlns:a16="http://schemas.microsoft.com/office/drawing/2014/main" id="{DB44E564-9145-41BC-AFCB-B376BEABF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28520" y="136524"/>
          <a:ext cx="648000" cy="648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48260</xdr:rowOff>
    </xdr:from>
    <xdr:to>
      <xdr:col>10</xdr:col>
      <xdr:colOff>0</xdr:colOff>
      <xdr:row>4</xdr:row>
      <xdr:rowOff>121284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F5C0E55D-A3F6-4605-A561-49214EE4B450}"/>
            </a:ext>
            <a:ext uri="{147F2762-F138-4A5C-976F-8EAC2B608ADB}">
              <a16:predDERef xmlns:a16="http://schemas.microsoft.com/office/drawing/2014/main" pred="{D0A6F931-E9F1-4B20-81F3-9729EF8C8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74050" y="51435"/>
          <a:ext cx="0" cy="997584"/>
        </a:xfrm>
        <a:prstGeom prst="rect">
          <a:avLst/>
        </a:prstGeom>
      </xdr:spPr>
    </xdr:pic>
    <xdr:clientData/>
  </xdr:twoCellAnchor>
  <xdr:twoCellAnchor>
    <xdr:from>
      <xdr:col>2</xdr:col>
      <xdr:colOff>1270</xdr:colOff>
      <xdr:row>13</xdr:row>
      <xdr:rowOff>1270</xdr:rowOff>
    </xdr:from>
    <xdr:to>
      <xdr:col>7</xdr:col>
      <xdr:colOff>946608</xdr:colOff>
      <xdr:row>26</xdr:row>
      <xdr:rowOff>1270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A11645EA-D3B3-4FD4-9ADD-396B4BF4339F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37</xdr:row>
      <xdr:rowOff>0</xdr:rowOff>
    </xdr:from>
    <xdr:to>
      <xdr:col>7</xdr:col>
      <xdr:colOff>944879</xdr:colOff>
      <xdr:row>50</xdr:row>
      <xdr:rowOff>0</xdr:rowOff>
    </xdr:to>
    <xdr:graphicFrame macro="">
      <xdr:nvGraphicFramePr>
        <xdr:cNvPr id="5" name="Gráfico 3">
          <a:extLst>
            <a:ext uri="{FF2B5EF4-FFF2-40B4-BE49-F238E27FC236}">
              <a16:creationId xmlns:a16="http://schemas.microsoft.com/office/drawing/2014/main" id="{44A8B5EA-0744-4999-8305-034FC4F4CDF5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0</xdr:colOff>
      <xdr:row>61</xdr:row>
      <xdr:rowOff>0</xdr:rowOff>
    </xdr:from>
    <xdr:to>
      <xdr:col>7</xdr:col>
      <xdr:colOff>942339</xdr:colOff>
      <xdr:row>74</xdr:row>
      <xdr:rowOff>0</xdr:rowOff>
    </xdr:to>
    <xdr:graphicFrame macro="">
      <xdr:nvGraphicFramePr>
        <xdr:cNvPr id="6" name="Gráfico 3">
          <a:extLst>
            <a:ext uri="{FF2B5EF4-FFF2-40B4-BE49-F238E27FC236}">
              <a16:creationId xmlns:a16="http://schemas.microsoft.com/office/drawing/2014/main" id="{97974F3D-FBE1-4A4C-8E1E-DD02672FD6E8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7</xdr:col>
      <xdr:colOff>309880</xdr:colOff>
      <xdr:row>0</xdr:row>
      <xdr:rowOff>138430</xdr:rowOff>
    </xdr:from>
    <xdr:to>
      <xdr:col>8</xdr:col>
      <xdr:colOff>20979</xdr:colOff>
      <xdr:row>2</xdr:row>
      <xdr:rowOff>96820</xdr:rowOff>
    </xdr:to>
    <xdr:pic>
      <xdr:nvPicPr>
        <xdr:cNvPr id="7" name="Picture 6" descr="Picture">
          <a:extLst>
            <a:ext uri="{FF2B5EF4-FFF2-40B4-BE49-F238E27FC236}">
              <a16:creationId xmlns:a16="http://schemas.microsoft.com/office/drawing/2014/main" id="{DC1124F3-49BF-427F-BAEF-5B572A0C0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80630" y="135890"/>
          <a:ext cx="650899" cy="61879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48260</xdr:rowOff>
    </xdr:from>
    <xdr:to>
      <xdr:col>10</xdr:col>
      <xdr:colOff>0</xdr:colOff>
      <xdr:row>4</xdr:row>
      <xdr:rowOff>121284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DF3BEE5C-D802-42DB-B474-E7045E360784}"/>
            </a:ext>
            <a:ext uri="{147F2762-F138-4A5C-976F-8EAC2B608ADB}">
              <a16:predDERef xmlns:a16="http://schemas.microsoft.com/office/drawing/2014/main" pred="{D0A6F931-E9F1-4B20-81F3-9729EF8C8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6320" y="50800"/>
          <a:ext cx="0" cy="996314"/>
        </a:xfrm>
        <a:prstGeom prst="rect">
          <a:avLst/>
        </a:prstGeom>
      </xdr:spPr>
    </xdr:pic>
    <xdr:clientData/>
  </xdr:twoCellAnchor>
  <xdr:twoCellAnchor>
    <xdr:from>
      <xdr:col>2</xdr:col>
      <xdr:colOff>1270</xdr:colOff>
      <xdr:row>13</xdr:row>
      <xdr:rowOff>1270</xdr:rowOff>
    </xdr:from>
    <xdr:to>
      <xdr:col>7</xdr:col>
      <xdr:colOff>946608</xdr:colOff>
      <xdr:row>26</xdr:row>
      <xdr:rowOff>1270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D275AB6-32A4-4F55-87A2-6230331912F9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37</xdr:row>
      <xdr:rowOff>0</xdr:rowOff>
    </xdr:from>
    <xdr:to>
      <xdr:col>7</xdr:col>
      <xdr:colOff>944879</xdr:colOff>
      <xdr:row>50</xdr:row>
      <xdr:rowOff>0</xdr:rowOff>
    </xdr:to>
    <xdr:graphicFrame macro="">
      <xdr:nvGraphicFramePr>
        <xdr:cNvPr id="5" name="Gráfico 3">
          <a:extLst>
            <a:ext uri="{FF2B5EF4-FFF2-40B4-BE49-F238E27FC236}">
              <a16:creationId xmlns:a16="http://schemas.microsoft.com/office/drawing/2014/main" id="{FB8B3E6A-D672-4617-811E-617536562BAD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0</xdr:colOff>
      <xdr:row>61</xdr:row>
      <xdr:rowOff>0</xdr:rowOff>
    </xdr:from>
    <xdr:to>
      <xdr:col>7</xdr:col>
      <xdr:colOff>942339</xdr:colOff>
      <xdr:row>74</xdr:row>
      <xdr:rowOff>0</xdr:rowOff>
    </xdr:to>
    <xdr:graphicFrame macro="">
      <xdr:nvGraphicFramePr>
        <xdr:cNvPr id="6" name="Gráfico 3">
          <a:extLst>
            <a:ext uri="{FF2B5EF4-FFF2-40B4-BE49-F238E27FC236}">
              <a16:creationId xmlns:a16="http://schemas.microsoft.com/office/drawing/2014/main" id="{9AECC9C2-B549-422B-AE8A-9A4F276E512E}"/>
            </a:ext>
            <a:ext uri="{147F2762-F138-4A5C-976F-8EAC2B608ADB}">
              <a16:predDERef xmlns:a16="http://schemas.microsoft.com/office/drawing/2014/main" pred="{C7DBFE18-C454-473D-856B-B0C4DCBF12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7</xdr:col>
      <xdr:colOff>309880</xdr:colOff>
      <xdr:row>0</xdr:row>
      <xdr:rowOff>138430</xdr:rowOff>
    </xdr:from>
    <xdr:to>
      <xdr:col>8</xdr:col>
      <xdr:colOff>20979</xdr:colOff>
      <xdr:row>2</xdr:row>
      <xdr:rowOff>100630</xdr:rowOff>
    </xdr:to>
    <xdr:pic>
      <xdr:nvPicPr>
        <xdr:cNvPr id="7" name="Picture 6" descr="Picture">
          <a:extLst>
            <a:ext uri="{FF2B5EF4-FFF2-40B4-BE49-F238E27FC236}">
              <a16:creationId xmlns:a16="http://schemas.microsoft.com/office/drawing/2014/main" id="{4AF247E3-045A-4D6B-A6A8-DEA972CFB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80630" y="135890"/>
          <a:ext cx="650899" cy="6162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0</xdr:row>
      <xdr:rowOff>48260</xdr:rowOff>
    </xdr:from>
    <xdr:to>
      <xdr:col>15</xdr:col>
      <xdr:colOff>0</xdr:colOff>
      <xdr:row>4</xdr:row>
      <xdr:rowOff>121919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2D8B6654-24D0-4614-91E0-40A0096CCE80}"/>
            </a:ext>
            <a:ext uri="{147F2762-F138-4A5C-976F-8EAC2B608ADB}">
              <a16:predDERef xmlns:a16="http://schemas.microsoft.com/office/drawing/2014/main" pred="{D0A6F931-E9F1-4B20-81F3-9729EF8C8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34360" y="50800"/>
          <a:ext cx="0" cy="990599"/>
        </a:xfrm>
        <a:prstGeom prst="rect">
          <a:avLst/>
        </a:prstGeom>
      </xdr:spPr>
    </xdr:pic>
    <xdr:clientData/>
  </xdr:twoCellAnchor>
  <xdr:twoCellAnchor editAs="oneCell">
    <xdr:from>
      <xdr:col>12</xdr:col>
      <xdr:colOff>645795</xdr:colOff>
      <xdr:row>0</xdr:row>
      <xdr:rowOff>136524</xdr:rowOff>
    </xdr:from>
    <xdr:to>
      <xdr:col>12</xdr:col>
      <xdr:colOff>1236645</xdr:colOff>
      <xdr:row>2</xdr:row>
      <xdr:rowOff>129839</xdr:rowOff>
    </xdr:to>
    <xdr:pic>
      <xdr:nvPicPr>
        <xdr:cNvPr id="4" name="Picture 3" descr="Picture">
          <a:extLst>
            <a:ext uri="{FF2B5EF4-FFF2-40B4-BE49-F238E27FC236}">
              <a16:creationId xmlns:a16="http://schemas.microsoft.com/office/drawing/2014/main" id="{FA583818-79B5-45EE-995E-E8FEC5118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11375" y="140334"/>
          <a:ext cx="648000" cy="6422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1488154-CB66-440C-9A2A-15BEB4ADCD62}" name="MensalPesoBL" displayName="MensalPesoBL" ref="C7:H8" headerRowCount="0" totalsRowCount="1" headerRowDxfId="534" dataDxfId="533" totalsRowDxfId="532">
  <tableColumns count="6">
    <tableColumn id="1" xr3:uid="{E1C7F5DA-70C6-4084-B63D-5F4B4DE926CB}" name="Calendário[Month]" totalsRowLabel="Total" headerRowDxfId="530" dataDxfId="529" totalsRowDxfId="531"/>
    <tableColumn id="2" xr3:uid="{8798C1E5-1928-4FB9-BF44-C79A125EF131}" name="[CY]" totalsRowFunction="sum" headerRowDxfId="527" dataDxfId="526" totalsRowDxfId="528"/>
    <tableColumn id="3" xr3:uid="{231E8FD4-BFF6-4139-97BE-2EED0AD94603}" name="[LY]" totalsRowFunction="sum" headerRowDxfId="524" dataDxfId="523" totalsRowDxfId="525"/>
    <tableColumn id="4" xr3:uid="{F1745276-8E6B-4A49-85D0-136307BF7031}" name="[2YA]" totalsRowFunction="sum" headerRowDxfId="521" dataDxfId="520" totalsRowDxfId="522"/>
    <tableColumn id="5" xr3:uid="{DDEF1A65-E348-4DE8-8191-5259E71AC5BE}" name="[CYxLY]" totalsRowFunction="custom" headerRowDxfId="518" dataDxfId="517" totalsRowDxfId="519">
      <totalsRowFormula>MensalPesoBL[[#Totals],['[CY']]]/MensalPesoBL[[#Totals],['[LY']]]-1</totalsRowFormula>
    </tableColumn>
    <tableColumn id="6" xr3:uid="{F1E5A539-A0AD-4190-87D2-3B86115C3106}" name="[CYx2YA]" totalsRowFunction="custom" headerRowDxfId="515" dataDxfId="514" totalsRowDxfId="516">
      <totalsRowFormula>MensalPesoBL[[#Totals],['[CY']]]/MensalPesoBL[[#Totals],['[2YA']]]-1</totalsRowFormula>
    </tableColumn>
  </tableColumns>
  <tableStyleInfo name="ABICS tabl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968A330-2674-4CFB-9A00-DC02E7BA3703}" name="MensalSacaBL" displayName="MensalSacaBL" ref="C28:H29" headerRowCount="0" totalsRowCount="1" headerRowDxfId="513" dataDxfId="512" totalsRowDxfId="511">
  <tableColumns count="6">
    <tableColumn id="1" xr3:uid="{A8182700-2163-43C5-BDAC-40236D4C584C}" name="Calendário[Month]" totalsRowLabel="Total" headerRowDxfId="509" dataDxfId="508" totalsRowDxfId="510"/>
    <tableColumn id="2" xr3:uid="{59EC52AB-D31E-468F-ABD8-A069CF09CB9C}" name="[CY]" totalsRowFunction="sum" headerRowDxfId="506" dataDxfId="505" totalsRowDxfId="507"/>
    <tableColumn id="3" xr3:uid="{E4C26DB4-2772-4BAC-9ADA-F69802816611}" name="[LY]" totalsRowFunction="sum" headerRowDxfId="503" dataDxfId="502" totalsRowDxfId="504"/>
    <tableColumn id="4" xr3:uid="{04E5EE6E-DEDF-4688-A4D0-9C8A624D515E}" name="[2YA]" totalsRowFunction="sum" headerRowDxfId="500" dataDxfId="499" totalsRowDxfId="501"/>
    <tableColumn id="5" xr3:uid="{E083ACCC-65E8-4756-AD80-B4B16C0D38A9}" name="[CYxLY]" totalsRowFunction="custom" headerRowDxfId="497" dataDxfId="496" totalsRowDxfId="498">
      <totalsRowFormula>MensalSacaBL[[#Totals],['[CY']]]/MensalSacaBL[[#Totals],['[LY']]]-1</totalsRowFormula>
    </tableColumn>
    <tableColumn id="6" xr3:uid="{17E57745-4132-40CB-BEEB-63CFF5559545}" name="[CYx2YA]" totalsRowFunction="custom" headerRowDxfId="494" dataDxfId="493" totalsRowDxfId="495">
      <totalsRowFormula>MensalSacaBL[[#Totals],['[CY']]]/MensalSacaBL[[#Totals],['[2YA']]]-1</totalsRowFormula>
    </tableColumn>
  </tableColumns>
  <tableStyleInfo name="ABICS table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AB36E31-0FEC-4052-8D4A-5ECE0D26666A}" name="MensalReceitaBL" displayName="MensalReceitaBL" ref="C49:H50" headerRowCount="0" totalsRowCount="1" headerRowDxfId="492" dataDxfId="491" totalsRowDxfId="490">
  <tableColumns count="6">
    <tableColumn id="1" xr3:uid="{0A8B2802-1E51-4B17-A27D-A8F8C5D7DDF9}" name="Calendário[Month]" totalsRowLabel="Total" headerRowDxfId="488" dataDxfId="487" totalsRowDxfId="489"/>
    <tableColumn id="2" xr3:uid="{270DABF9-56ED-4167-9AF9-C3C373F9CADD}" name="[CY]" totalsRowFunction="sum" headerRowDxfId="485" dataDxfId="484" totalsRowDxfId="486"/>
    <tableColumn id="3" xr3:uid="{BF862CDD-BF9A-43A4-8F48-0DA6840EBE1F}" name="[LY]" totalsRowFunction="sum" headerRowDxfId="482" dataDxfId="481" totalsRowDxfId="483"/>
    <tableColumn id="4" xr3:uid="{443D00C8-3F1D-45E2-8223-1057C35A0027}" name="[2YA]" totalsRowFunction="sum" headerRowDxfId="479" dataDxfId="478" totalsRowDxfId="480"/>
    <tableColumn id="5" xr3:uid="{D183DAF3-EC17-4EB2-84D9-86CA83E50E48}" name="[CYxLY]" totalsRowFunction="custom" headerRowDxfId="476" dataDxfId="475" totalsRowDxfId="477">
      <totalsRowFormula>MensalReceitaBL[[#Totals],['[CY']]]/MensalReceitaBL[[#Totals],['[LY']]]-1</totalsRowFormula>
    </tableColumn>
    <tableColumn id="6" xr3:uid="{D00B3F42-B913-4860-9B10-F5739141976B}" name="[CYx2YA]" totalsRowFunction="custom" headerRowDxfId="473" dataDxfId="472" totalsRowDxfId="474">
      <totalsRowFormula>MensalReceitaBL[[#Totals],['[CY']]]/MensalReceitaBL[[#Totals],['[2YA']]]-1</totalsRowFormula>
    </tableColumn>
  </tableColumns>
  <tableStyleInfo name="ABICS table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14A07916-3463-48E6-B7CC-77971B92D1D2}" name="Periodo" displayName="Periodo" ref="K5:L6" totalsRowShown="0" headerRowDxfId="471" dataDxfId="470">
  <autoFilter ref="K5:L6" xr:uid="{14A07916-3463-48E6-B7CC-77971B92D1D2}"/>
  <tableColumns count="2">
    <tableColumn id="1" xr3:uid="{5D48F601-6423-471E-BFED-BBA6B0340B9B}" name="Mês" dataDxfId="469"/>
    <tableColumn id="2" xr3:uid="{389B15B1-CE85-42F0-9D21-0B7DD030738E}" name="Ano" dataDxfId="46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AA2FDA1-32D4-41C7-B07A-0C62D1D7654B}" name="PaisPesoMensal" displayName="PaisPesoMensal" ref="C7:H93" headerRowCount="0" totalsRowCount="1" headerRowDxfId="467" dataDxfId="466" totalsRowDxfId="465">
  <tableColumns count="6">
    <tableColumn id="1" xr3:uid="{A173FDD2-6EA1-400D-ACDD-4E9BF07C6259}" name="País[País]" totalsRowLabel="Total" headerRowDxfId="463" dataDxfId="462" totalsRowDxfId="464"/>
    <tableColumn id="2" xr3:uid="{9DB5EA19-BF5A-4824-86BD-1CB9F9E108C7}" name="[CY]" totalsRowFunction="sum" headerRowDxfId="460" dataDxfId="459" totalsRowDxfId="461"/>
    <tableColumn id="3" xr3:uid="{016B9922-8CAE-4DC7-804F-9490BD14AC3F}" name="[LY]" totalsRowFunction="sum" headerRowDxfId="457" dataDxfId="456" totalsRowDxfId="458"/>
    <tableColumn id="4" xr3:uid="{BE8078E4-5303-48F3-B274-C1FBE648D11D}" name="[2YA]" totalsRowFunction="sum" headerRowDxfId="454" dataDxfId="453" totalsRowDxfId="455"/>
    <tableColumn id="5" xr3:uid="{753178EE-9EC3-4C53-8A8E-DA4FB4F8F4D5}" name="[CYxLY]" totalsRowFunction="custom" headerRowDxfId="451" dataDxfId="450" totalsRowDxfId="452">
      <totalsRowFormula>PaisPesoMensal[[#Totals],['[CY']]]/PaisPesoMensal[[#Totals],['[LY']]]-1</totalsRowFormula>
    </tableColumn>
    <tableColumn id="6" xr3:uid="{6EC1D024-D93B-4FE1-AC13-BDE140351A9D}" name="[CYx2YA]" totalsRowFunction="custom" headerRowDxfId="448" dataDxfId="447" totalsRowDxfId="449">
      <totalsRowFormula>PaisPesoMensal[[#Totals],['[CY']]]/PaisPesoMensal[[#Totals],['[2YA']]]-1</totalsRowFormula>
    </tableColumn>
  </tableColumns>
  <tableStyleInfo name="ABICS table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DC8B83B-0832-4ED1-AF50-E2E3048975F0}" name="PaisSacaMensal" displayName="PaisSacaMensal" ref="C113:H199" headerRowCount="0" totalsRowCount="1" headerRowDxfId="446" dataDxfId="445" totalsRowDxfId="444">
  <tableColumns count="6">
    <tableColumn id="1" xr3:uid="{88FDACF6-84DF-4FEC-AE5C-7D20F2DCD2F3}" name="País[País]" totalsRowLabel="Total" headerRowDxfId="442" dataDxfId="441" totalsRowDxfId="443"/>
    <tableColumn id="2" xr3:uid="{A94C9B62-0B82-46BA-93DF-9AB25D8F7807}" name="[CY]" totalsRowFunction="sum" headerRowDxfId="439" dataDxfId="438" totalsRowDxfId="440"/>
    <tableColumn id="3" xr3:uid="{08DA0285-9D15-4FB2-85DE-2D26DE1522DC}" name="[LY]" totalsRowFunction="sum" headerRowDxfId="436" dataDxfId="435" totalsRowDxfId="437"/>
    <tableColumn id="4" xr3:uid="{B888B5A8-2C07-4CF6-8AF0-0867B7FF8D0B}" name="[2YA]" totalsRowFunction="sum" headerRowDxfId="433" dataDxfId="432" totalsRowDxfId="434"/>
    <tableColumn id="5" xr3:uid="{1FCE1650-C267-47F1-B0D9-7DBF85B2CE61}" name="[CYxLY]" totalsRowFunction="custom" headerRowDxfId="430" dataDxfId="429" totalsRowDxfId="431">
      <totalsRowFormula>PaisSacaMensal[[#Totals],['[CY']]]/PaisSacaMensal[[#Totals],['[LY']]]-1</totalsRowFormula>
    </tableColumn>
    <tableColumn id="6" xr3:uid="{7B15C758-75CB-4436-8D72-01853B25DEE0}" name="[CYx2YA]" totalsRowFunction="custom" headerRowDxfId="427" dataDxfId="426" totalsRowDxfId="428">
      <totalsRowFormula>PaisSacaMensal[[#Totals],['[CY']]]/PaisSacaMensal[[#Totals],['[2YA']]]-1</totalsRowFormula>
    </tableColumn>
  </tableColumns>
  <tableStyleInfo name="ABICS table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2C92469-24A9-4C45-9FC0-BA7216B5D889}" name="PaisReceitaMensal" displayName="PaisReceitaMensal" ref="C219:H305" headerRowCount="0" totalsRowCount="1" headerRowDxfId="425" dataDxfId="424" totalsRowDxfId="423">
  <tableColumns count="6">
    <tableColumn id="1" xr3:uid="{4935A467-E15D-4E31-AA1C-EB5AC47A1CBE}" name="País[País]" totalsRowLabel="Total" headerRowDxfId="421" dataDxfId="420" totalsRowDxfId="422"/>
    <tableColumn id="2" xr3:uid="{DDD69F19-56DA-492C-BDD6-4E58FC672C71}" name="[CY]" totalsRowFunction="sum" headerRowDxfId="418" dataDxfId="417" totalsRowDxfId="419"/>
    <tableColumn id="3" xr3:uid="{342F369E-8573-4CEE-B64F-D4D4E484C8E0}" name="[LY]" totalsRowFunction="sum" headerRowDxfId="415" dataDxfId="414" totalsRowDxfId="416"/>
    <tableColumn id="4" xr3:uid="{F552D9EE-3B99-4295-B49D-FBAFF7DB3DC9}" name="[2YA]" totalsRowFunction="sum" headerRowDxfId="412" dataDxfId="411" totalsRowDxfId="413"/>
    <tableColumn id="5" xr3:uid="{AF0E9A47-BDC1-4247-A51F-E797716E5BD0}" name="[CYxLY]" totalsRowFunction="custom" headerRowDxfId="409" dataDxfId="408" totalsRowDxfId="410">
      <totalsRowFormula>PaisReceitaMensal[[#Totals],['[CY']]]/PaisReceitaMensal[[#Totals],['[LY']]]-1</totalsRowFormula>
    </tableColumn>
    <tableColumn id="6" xr3:uid="{14F0001B-6902-4585-96A8-6AA8928E8F56}" name="[CYx2YA]" totalsRowFunction="custom" headerRowDxfId="406" dataDxfId="405" totalsRowDxfId="407">
      <totalsRowFormula>PaisReceitaMensal[[#Totals],['[CY']]]/PaisReceitaMensal[[#Totals],['[2YA']]]-1</totalsRowFormula>
    </tableColumn>
  </tableColumns>
  <tableStyleInfo name="ABICS table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3E5A9975-700C-44F2-BB88-6BA86C5C11FF}" name="PaisPesoAcumulado" displayName="PaisPesoAcumulado" ref="C7:H93" headerRowCount="0" totalsRowCount="1" headerRowDxfId="404" dataDxfId="403" totalsRowDxfId="402">
  <tableColumns count="6">
    <tableColumn id="1" xr3:uid="{0E3A6310-21DC-4033-9760-04BF62C9CFE8}" name="País[País]" totalsRowLabel="Total" headerRowDxfId="400" dataDxfId="399" totalsRowDxfId="401"/>
    <tableColumn id="2" xr3:uid="{AC174028-0F2E-484B-BB6A-D7A1EB75F6FF}" name="[CY]" totalsRowFunction="sum" headerRowDxfId="397" dataDxfId="396" totalsRowDxfId="398"/>
    <tableColumn id="3" xr3:uid="{1C47FDA7-02E8-4697-A327-483D8C588C51}" name="[LY]" totalsRowFunction="sum" headerRowDxfId="394" dataDxfId="393" totalsRowDxfId="395"/>
    <tableColumn id="4" xr3:uid="{D5D7D978-62F2-44C6-9D9F-EA68457192A3}" name="[2YA]" totalsRowFunction="sum" headerRowDxfId="391" dataDxfId="390" totalsRowDxfId="392"/>
    <tableColumn id="5" xr3:uid="{79DF5FDB-73CF-4F44-9B3F-4D33D50A260F}" name="[CYxLY]" totalsRowFunction="custom" headerRowDxfId="388" dataDxfId="387" totalsRowDxfId="389">
      <totalsRowFormula>PaisPesoAcumulado[[#Totals],['[CY']]]/PaisPesoAcumulado[[#Totals],['[LY']]]-1</totalsRowFormula>
    </tableColumn>
    <tableColumn id="6" xr3:uid="{21FBF97A-B985-4A28-91A6-1562B8021C48}" name="[CYx2YA]" totalsRowFunction="custom" headerRowDxfId="385" dataDxfId="384" totalsRowDxfId="386">
      <totalsRowFormula>PaisPesoAcumulado[[#Totals],['[CY']]]/PaisPesoAcumulado[[#Totals],['[2YA']]]-1</totalsRowFormula>
    </tableColumn>
  </tableColumns>
  <tableStyleInfo name="ABICS table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76569A1-FC25-4A06-9990-ECECE0272219}" name="PaisSacaAcumulado" displayName="PaisSacaAcumulado" ref="C113:H199" headerRowCount="0" totalsRowCount="1" headerRowDxfId="383" dataDxfId="382" totalsRowDxfId="381">
  <tableColumns count="6">
    <tableColumn id="1" xr3:uid="{885D12B4-65BD-4047-B017-A7BA9C5DD120}" name="País[País]" totalsRowLabel="Total" headerRowDxfId="379" dataDxfId="378" totalsRowDxfId="380"/>
    <tableColumn id="2" xr3:uid="{7283AD77-A845-4A8F-9191-015478CBE5E1}" name="[CY]" totalsRowFunction="sum" headerRowDxfId="376" dataDxfId="375" totalsRowDxfId="377"/>
    <tableColumn id="3" xr3:uid="{5A446A14-AEEE-47A0-A6B5-246C36DC8844}" name="[LY]" totalsRowFunction="sum" headerRowDxfId="373" dataDxfId="372" totalsRowDxfId="374"/>
    <tableColumn id="4" xr3:uid="{EF894AF7-F66E-436F-B29C-AC456C6E4067}" name="[2YA]" totalsRowFunction="sum" headerRowDxfId="370" dataDxfId="369" totalsRowDxfId="371"/>
    <tableColumn id="5" xr3:uid="{3D3E16A1-AD03-4730-9153-0CCCF8D6CC06}" name="[CYxLY]" totalsRowFunction="custom" headerRowDxfId="367" dataDxfId="366" totalsRowDxfId="368">
      <totalsRowFormula>PaisSacaAcumulado[[#Totals],['[CY']]]/PaisSacaAcumulado[[#Totals],['[LY']]]-1</totalsRowFormula>
    </tableColumn>
    <tableColumn id="6" xr3:uid="{16A2CDE9-9C39-4DDF-9A5C-4EC69877F7F2}" name="[CYx2YA]" totalsRowFunction="custom" headerRowDxfId="364" dataDxfId="363" totalsRowDxfId="365">
      <totalsRowFormula>PaisSacaAcumulado[[#Totals],['[CY']]]/PaisSacaAcumulado[[#Totals],['[2YA']]]-1</totalsRowFormula>
    </tableColumn>
  </tableColumns>
  <tableStyleInfo name="ABICS table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D6DEC87B-4BE4-4A50-A96E-8020373E537C}" name="PaisReceitaAcumulado" displayName="PaisReceitaAcumulado" ref="C219:H305" headerRowCount="0" totalsRowCount="1" headerRowDxfId="362" dataDxfId="361" totalsRowDxfId="360">
  <tableColumns count="6">
    <tableColumn id="1" xr3:uid="{9E32C096-1BFB-4A25-B0D4-771AC6D6DE32}" name="País[País]" totalsRowLabel="Total" headerRowDxfId="358" dataDxfId="357" totalsRowDxfId="359"/>
    <tableColumn id="2" xr3:uid="{AA8C805D-2940-40A6-A1EA-18120258FC1F}" name="[CY]" totalsRowFunction="sum" headerRowDxfId="355" dataDxfId="354" totalsRowDxfId="356"/>
    <tableColumn id="3" xr3:uid="{8C6D287B-D939-4D30-8F20-F70BDF42BA51}" name="[LY]" totalsRowFunction="sum" headerRowDxfId="352" dataDxfId="351" totalsRowDxfId="353"/>
    <tableColumn id="4" xr3:uid="{A933C99E-9906-4A3A-B6D3-38920DED444C}" name="[2YA]" totalsRowFunction="sum" headerRowDxfId="349" dataDxfId="348" totalsRowDxfId="350"/>
    <tableColumn id="5" xr3:uid="{2612AB32-EDA4-4D61-B739-8B96713200EA}" name="[CYxLY]" totalsRowFunction="custom" headerRowDxfId="346" dataDxfId="345" totalsRowDxfId="347">
      <totalsRowFormula>PaisReceitaAcumulado[[#Totals],['[CY']]]/PaisReceitaAcumulado[[#Totals],['[LY']]]-1</totalsRowFormula>
    </tableColumn>
    <tableColumn id="6" xr3:uid="{CBCC7F1C-941F-403C-9B50-535CFCE31114}" name="[CYx2YA]" totalsRowFunction="custom" headerRowDxfId="343" dataDxfId="342" totalsRowDxfId="344">
      <totalsRowFormula>PaisReceitaAcumulado[[#Totals],['[CY']]]/PaisReceitaAcumulado[[#Totals],['[2YA']]]-1</totalsRowFormula>
    </tableColumn>
  </tableColumns>
  <tableStyleInfo name="ABICS table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DC31F727-F9F8-45CA-9A15-29A740BCD6A7}" name="PaisPesoAnual" displayName="PaisPesoAnual" ref="C7:M136" headerRowCount="0" totalsRowCount="1" headerRowDxfId="341" dataDxfId="340" totalsRowDxfId="339">
  <tableColumns count="11">
    <tableColumn id="1" xr3:uid="{9118978A-0773-47CD-A9C6-90476A1B4386}" name="País[País]" totalsRowLabel="Total" headerRowDxfId="337" dataDxfId="336" totalsRowDxfId="338"/>
    <tableColumn id="2" xr3:uid="{663958AD-6C5D-4BF8-9E87-A412FEB3154C}" name="[9YA]" totalsRowFunction="sum" headerRowDxfId="334" dataDxfId="333" totalsRowDxfId="335"/>
    <tableColumn id="3" xr3:uid="{E1BBC9A9-2297-469A-924C-C51E14D0BCBC}" name="[8YA]" totalsRowFunction="sum" headerRowDxfId="331" dataDxfId="330" totalsRowDxfId="332"/>
    <tableColumn id="4" xr3:uid="{F4BBF15F-FC22-47F7-A5A3-040D9BE70EF4}" name="[7YA]" totalsRowFunction="sum" headerRowDxfId="328" dataDxfId="327" totalsRowDxfId="329"/>
    <tableColumn id="5" xr3:uid="{1A343DE1-CF0B-4F09-901B-1571DAB55344}" name="[6YA]" totalsRowFunction="sum" headerRowDxfId="325" dataDxfId="324" totalsRowDxfId="326"/>
    <tableColumn id="6" xr3:uid="{92DFD834-B40F-4019-A16A-F6EF58BCA3A8}" name="[5YA]" totalsRowFunction="sum" headerRowDxfId="322" dataDxfId="321" totalsRowDxfId="323"/>
    <tableColumn id="8" xr3:uid="{D841059F-D9BB-43F1-A7CF-13A2005EAE07}" name="[4YA]" totalsRowFunction="sum" headerRowDxfId="319" dataDxfId="318" totalsRowDxfId="320"/>
    <tableColumn id="9" xr3:uid="{D9CE484E-7DE7-41F6-B8C5-1818BC8830BF}" name="[3YA]" totalsRowFunction="sum" headerRowDxfId="316" dataDxfId="315" totalsRowDxfId="317"/>
    <tableColumn id="10" xr3:uid="{D0CD8A2D-DB9C-43E6-AA85-6890854570B9}" name="[2YA]" totalsRowFunction="sum" headerRowDxfId="313" dataDxfId="312" totalsRowDxfId="314"/>
    <tableColumn id="11" xr3:uid="{DC0AF6BF-F621-472D-AE9C-66AB61697281}" name="[LY]" totalsRowFunction="sum" headerRowDxfId="310" dataDxfId="309" totalsRowDxfId="311"/>
    <tableColumn id="12" xr3:uid="{7CC283BA-6D26-45EA-8031-15388F006602}" name="[CY]" totalsRowFunction="sum" headerRowDxfId="307" dataDxfId="306" totalsRowDxfId="308"/>
  </tableColumns>
  <tableStyleInfo name="ABICS table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639A7CAF-085B-45AF-A9F0-49C730E17E9D}" name="PaisSacaAnual" displayName="PaisSacaAnual" ref="C142:M271" headerRowCount="0" totalsRowCount="1" headerRowDxfId="305" dataDxfId="304" totalsRowDxfId="303">
  <tableColumns count="11">
    <tableColumn id="1" xr3:uid="{A0D9A9A6-AE21-41A1-9C68-315B2EB189B1}" name="País[País]" totalsRowLabel="Total" headerRowDxfId="301" dataDxfId="300" totalsRowDxfId="302"/>
    <tableColumn id="2" xr3:uid="{D1FDDED3-D75C-4B98-B2B5-E137D557314E}" name="[9YA]" totalsRowFunction="sum" headerRowDxfId="298" dataDxfId="297" totalsRowDxfId="299"/>
    <tableColumn id="3" xr3:uid="{487032D3-D8D1-425D-B3C8-06004C239545}" name="[8YA]" totalsRowFunction="sum" headerRowDxfId="295" dataDxfId="294" totalsRowDxfId="296"/>
    <tableColumn id="4" xr3:uid="{E0960165-079B-40A8-9856-E2B104836C32}" name="[7YA]" totalsRowFunction="sum" headerRowDxfId="292" dataDxfId="291" totalsRowDxfId="293"/>
    <tableColumn id="5" xr3:uid="{9B864F82-8AF0-4005-A12F-C311DB5066C4}" name="[6YA]" totalsRowFunction="sum" headerRowDxfId="289" dataDxfId="288" totalsRowDxfId="290"/>
    <tableColumn id="6" xr3:uid="{1BD0562B-CE02-4738-A2ED-77403B23ABFA}" name="[5YA]" totalsRowFunction="sum" headerRowDxfId="286" dataDxfId="285" totalsRowDxfId="287"/>
    <tableColumn id="8" xr3:uid="{23B877B7-7C6E-4E8A-9387-2F9BA7016B7B}" name="[4YA]" totalsRowFunction="sum" headerRowDxfId="283" dataDxfId="282" totalsRowDxfId="284"/>
    <tableColumn id="9" xr3:uid="{A740FEED-525C-4F21-ABC6-B09D5B53B89F}" name="[3YA]" totalsRowFunction="sum" headerRowDxfId="280" dataDxfId="279" totalsRowDxfId="281"/>
    <tableColumn id="10" xr3:uid="{699719F1-B910-4DAB-8800-2C8CAA328785}" name="[2YA]" totalsRowFunction="sum" headerRowDxfId="277" dataDxfId="276" totalsRowDxfId="278"/>
    <tableColumn id="11" xr3:uid="{59E4C3D9-65C4-40BD-871D-20A79C8D4B10}" name="[LY]" totalsRowFunction="sum" headerRowDxfId="274" dataDxfId="273" totalsRowDxfId="275"/>
    <tableColumn id="12" xr3:uid="{603BF064-AEE9-46D6-990C-87DBC4150282}" name="[CY]" totalsRowFunction="sum" headerRowDxfId="271" dataDxfId="270" totalsRowDxfId="272"/>
  </tableColumns>
  <tableStyleInfo name="ABICS table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112F41FE-62EA-488D-83D2-0BF206E4542C}" name="PaisReceitaAnual" displayName="PaisReceitaAnual" ref="C277:M406" headerRowCount="0" totalsRowCount="1" headerRowDxfId="269" dataDxfId="268" totalsRowDxfId="267">
  <tableColumns count="11">
    <tableColumn id="1" xr3:uid="{50A1A7ED-D89B-4B8B-905A-D63E66BBC57E}" name="País[País]" totalsRowLabel="Total" headerRowDxfId="265" dataDxfId="264" totalsRowDxfId="266"/>
    <tableColumn id="2" xr3:uid="{9DCD8A98-7D2D-46E0-8B93-94C6C24D5D3E}" name="[9YA]" totalsRowFunction="sum" headerRowDxfId="262" dataDxfId="261" totalsRowDxfId="263"/>
    <tableColumn id="3" xr3:uid="{2203017E-95EC-4A58-9FF6-49B63E7DFB2C}" name="[8YA]" totalsRowFunction="sum" headerRowDxfId="259" dataDxfId="258" totalsRowDxfId="260"/>
    <tableColumn id="4" xr3:uid="{B7678882-3F47-4030-9FCB-F3A758A6ABBC}" name="[7YA]" totalsRowFunction="sum" headerRowDxfId="256" dataDxfId="255" totalsRowDxfId="257"/>
    <tableColumn id="5" xr3:uid="{621C26E4-2990-48EA-88FB-A4A06C184543}" name="[6YA]" totalsRowFunction="sum" headerRowDxfId="253" dataDxfId="252" totalsRowDxfId="254"/>
    <tableColumn id="6" xr3:uid="{DAB52332-9550-4E35-8C9E-2468B5F8861B}" name="[5YA]" totalsRowFunction="sum" headerRowDxfId="250" dataDxfId="249" totalsRowDxfId="251"/>
    <tableColumn id="8" xr3:uid="{ED9B0D6A-A386-4BE9-A371-0F18E4643878}" name="[4YA]" totalsRowFunction="sum" headerRowDxfId="247" dataDxfId="246" totalsRowDxfId="248"/>
    <tableColumn id="9" xr3:uid="{D5B22E21-2AC7-451B-888A-D14E01133F93}" name="[3YA]" totalsRowFunction="sum" headerRowDxfId="244" dataDxfId="243" totalsRowDxfId="245"/>
    <tableColumn id="10" xr3:uid="{9980617D-D8A9-4F1E-BDF3-C39A732DF672}" name="[2YA]" totalsRowFunction="sum" headerRowDxfId="241" dataDxfId="240" totalsRowDxfId="242"/>
    <tableColumn id="11" xr3:uid="{222D095A-F01A-481C-8DDE-636AE33E9A10}" name="[LY]" totalsRowFunction="sum" headerRowDxfId="238" dataDxfId="237" totalsRowDxfId="239"/>
    <tableColumn id="12" xr3:uid="{CD6792AE-744D-4DA9-8F4D-E005B41CA283}" name="[CY]" totalsRowFunction="sum" headerRowDxfId="235" dataDxfId="234" totalsRowDxfId="236"/>
  </tableColumns>
  <tableStyleInfo name="ABICS table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1A2DD3D-D08C-45E6-A35D-858F8DB5C1D5}" name="ProdutoPesoMensal" displayName="ProdutoPesoMensal" ref="C7:H11" headerRowCount="0" totalsRowCount="1" headerRowDxfId="233" dataDxfId="232" totalsRowDxfId="231">
  <tableColumns count="6">
    <tableColumn id="1" xr3:uid="{9C799607-C773-482A-9F0F-AD79382C027F}" name="Exp_Consolidado[ds_ClassificacaoCafe]" totalsRowLabel="Total" headerRowDxfId="229" dataDxfId="228" totalsRowDxfId="230"/>
    <tableColumn id="2" xr3:uid="{97BFE934-2A9F-47A3-91D1-070EDFC7080A}" name="[CY]" totalsRowFunction="sum" headerRowDxfId="226" dataDxfId="225" totalsRowDxfId="227"/>
    <tableColumn id="3" xr3:uid="{7EF945DC-1371-4AA9-A617-651F14EBFDA9}" name="[LY]" totalsRowFunction="sum" headerRowDxfId="223" dataDxfId="222" totalsRowDxfId="224"/>
    <tableColumn id="4" xr3:uid="{C0835FAF-EA95-4485-A89D-366B9F81DBFC}" name="[2YA]" totalsRowFunction="sum" headerRowDxfId="220" dataDxfId="219" totalsRowDxfId="221"/>
    <tableColumn id="5" xr3:uid="{ED007B48-42AE-4955-96A0-CB2EF35D0000}" name="[CYxLY]" totalsRowFunction="custom" headerRowDxfId="217" dataDxfId="216" totalsRowDxfId="218">
      <totalsRowFormula>ProdutoPesoMensal[[#Totals],['[CY']]]/ProdutoPesoMensal[[#Totals],['[LY']]]-1</totalsRowFormula>
    </tableColumn>
    <tableColumn id="6" xr3:uid="{5CE36C53-0DB9-4B07-AF0C-3155E5192B48}" name="[CYx2YA]" totalsRowFunction="custom" headerRowDxfId="214" dataDxfId="213" totalsRowDxfId="215">
      <totalsRowFormula>ProdutoPesoMensal[[#Totals],['[CY']]]/ProdutoPesoMensal[[#Totals],['[2YA']]]-1</totalsRowFormula>
    </tableColumn>
  </tableColumns>
  <tableStyleInfo name="ABICS table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10DE3B6-DA62-40E7-B40E-588BFC503C69}" name="ProdutoSacaMensal" displayName="ProdutoSacaMensal" ref="C31:H35" headerRowCount="0" totalsRowCount="1" headerRowDxfId="212" dataDxfId="211" totalsRowDxfId="210">
  <tableColumns count="6">
    <tableColumn id="1" xr3:uid="{AF2B90CB-2CAD-4A16-A6BB-7B0893932869}" name="Exp_Consolidado[ds_ClassificacaoCafe]" totalsRowLabel="Total" headerRowDxfId="208" dataDxfId="207" totalsRowDxfId="209"/>
    <tableColumn id="2" xr3:uid="{8E29679D-3FC8-41D0-B229-B48288261F86}" name="[CY]" totalsRowFunction="sum" headerRowDxfId="205" dataDxfId="204" totalsRowDxfId="206"/>
    <tableColumn id="3" xr3:uid="{B1AD141C-570D-4171-AD47-6455B81CBF04}" name="[LY]" totalsRowFunction="sum" headerRowDxfId="202" dataDxfId="201" totalsRowDxfId="203"/>
    <tableColumn id="4" xr3:uid="{E908F929-3A33-4614-ABD6-52B630AE024D}" name="[2YA]" totalsRowFunction="sum" headerRowDxfId="199" dataDxfId="198" totalsRowDxfId="200"/>
    <tableColumn id="5" xr3:uid="{7FA92408-D7E3-44F4-AA6F-B6E448589F03}" name="[CYxLY]" totalsRowFunction="custom" headerRowDxfId="196" dataDxfId="195" totalsRowDxfId="197">
      <totalsRowFormula>ProdutoSacaMensal[[#Totals],['[CY']]]/ProdutoSacaMensal[[#Totals],['[LY']]]-1</totalsRowFormula>
    </tableColumn>
    <tableColumn id="6" xr3:uid="{8403D790-7D17-47E2-A275-095C37F86C0F}" name="[CYx2YA]" totalsRowFunction="custom" headerRowDxfId="193" dataDxfId="192" totalsRowDxfId="194">
      <totalsRowFormula>ProdutoSacaMensal[[#Totals],['[CY']]]/ProdutoSacaMensal[[#Totals],['[2YA']]]-1</totalsRowFormula>
    </tableColumn>
  </tableColumns>
  <tableStyleInfo name="ABICS table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F211D2C-D311-454C-95EE-7C5A36051C25}" name="ProdutoReceitaMensal" displayName="ProdutoReceitaMensal" ref="C55:H59" headerRowCount="0" totalsRowCount="1" headerRowDxfId="191" dataDxfId="190" totalsRowDxfId="189">
  <tableColumns count="6">
    <tableColumn id="1" xr3:uid="{489B2925-A2D6-40D3-B116-D3CB20808051}" name="Exp_Consolidado[ds_ClassificacaoCafe]" totalsRowLabel="Total" headerRowDxfId="187" dataDxfId="186" totalsRowDxfId="188"/>
    <tableColumn id="2" xr3:uid="{34DCC03C-6E69-4950-830A-A0820B90046D}" name="[CY]" totalsRowFunction="sum" headerRowDxfId="184" dataDxfId="183" totalsRowDxfId="185"/>
    <tableColumn id="3" xr3:uid="{79C6E930-1477-4239-99F7-6D491543DED6}" name="[LY]" totalsRowFunction="sum" headerRowDxfId="181" dataDxfId="180" totalsRowDxfId="182"/>
    <tableColumn id="4" xr3:uid="{314D0876-C67A-44C9-A6FF-DACB65DF27A1}" name="[2YA]" totalsRowFunction="sum" headerRowDxfId="178" dataDxfId="177" totalsRowDxfId="179"/>
    <tableColumn id="5" xr3:uid="{E582754C-B029-45E5-860A-B48EBC2F5AC3}" name="[CYxLY]" totalsRowFunction="custom" headerRowDxfId="175" dataDxfId="174" totalsRowDxfId="176">
      <totalsRowFormula>ProdutoReceitaMensal[[#Totals],['[CY']]]/ProdutoReceitaMensal[[#Totals],['[LY']]]-1</totalsRowFormula>
    </tableColumn>
    <tableColumn id="6" xr3:uid="{C4C5C003-3B9A-4605-B03B-A35ABF7CFB7B}" name="[CYx2YA]" totalsRowFunction="custom" headerRowDxfId="172" dataDxfId="171" totalsRowDxfId="173">
      <totalsRowFormula>ProdutoReceitaMensal[[#Totals],['[CY']]]/ProdutoReceitaMensal[[#Totals],['[2YA']]]-1</totalsRowFormula>
    </tableColumn>
  </tableColumns>
  <tableStyleInfo name="ABICS table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AA1D8906-7298-49B3-B284-C3593EA0BF02}" name="ProdutoPesoAcumulado" displayName="ProdutoPesoAcumulado" ref="C7:H11" headerRowCount="0" totalsRowCount="1" headerRowDxfId="170" dataDxfId="169" totalsRowDxfId="168">
  <tableColumns count="6">
    <tableColumn id="1" xr3:uid="{4C3ADCA2-4E10-4CC9-9030-5FB19B2E2CD1}" name="Exp_Consolidado[ds_ClassificacaoCafe]" totalsRowLabel="Total" headerRowDxfId="166" dataDxfId="165" totalsRowDxfId="167"/>
    <tableColumn id="2" xr3:uid="{97A30603-3576-40EE-8446-4F8E7CDE839F}" name="[CY]" totalsRowFunction="sum" headerRowDxfId="163" dataDxfId="162" totalsRowDxfId="164"/>
    <tableColumn id="3" xr3:uid="{B8F298F7-F0A5-45CB-A0C4-6E453C438042}" name="[LY]" totalsRowFunction="sum" headerRowDxfId="160" dataDxfId="159" totalsRowDxfId="161"/>
    <tableColumn id="4" xr3:uid="{4546B10A-CD7A-4B55-94CD-2C89CA6402C5}" name="[2YA]" totalsRowFunction="sum" headerRowDxfId="157" dataDxfId="156" totalsRowDxfId="158"/>
    <tableColumn id="5" xr3:uid="{E9A6F8B1-9C6E-4129-9CC9-512A68732018}" name="[CYxLY]" totalsRowFunction="custom" headerRowDxfId="154" dataDxfId="153" totalsRowDxfId="155">
      <totalsRowFormula>ProdutoPesoAcumulado[[#Totals],['[CY']]]/ProdutoPesoAcumulado[[#Totals],['[LY']]]-1</totalsRowFormula>
    </tableColumn>
    <tableColumn id="6" xr3:uid="{079E59F6-23B3-4C41-9A0D-0E324EE076B5}" name="[CYx2YA]" totalsRowFunction="custom" headerRowDxfId="151" dataDxfId="150" totalsRowDxfId="152">
      <totalsRowFormula>ProdutoPesoAcumulado[[#Totals],['[CY']]]/ProdutoPesoAcumulado[[#Totals],['[2YA']]]-1</totalsRowFormula>
    </tableColumn>
  </tableColumns>
  <tableStyleInfo name="ABICS table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7C2BF4AC-B4C1-4DD2-8A18-C311DFB8C3D8}" name="ProdutoSacaAcumulado" displayName="ProdutoSacaAcumulado" ref="C31:H35" headerRowCount="0" totalsRowCount="1" headerRowDxfId="149" dataDxfId="148" totalsRowDxfId="147">
  <tableColumns count="6">
    <tableColumn id="1" xr3:uid="{431EFAFE-3D2D-4489-A593-AECACE6831F5}" name="Exp_Consolidado[ds_ClassificacaoCafe]" totalsRowLabel="Total" headerRowDxfId="145" dataDxfId="144" totalsRowDxfId="146"/>
    <tableColumn id="2" xr3:uid="{F000D6F0-F7E8-4C30-928B-72E2340BCF2F}" name="[CY]" totalsRowFunction="sum" headerRowDxfId="142" dataDxfId="141" totalsRowDxfId="143"/>
    <tableColumn id="3" xr3:uid="{B2639D3C-9721-4DE9-A659-1ECDB3B3777C}" name="[LY]" totalsRowFunction="sum" headerRowDxfId="139" dataDxfId="138" totalsRowDxfId="140"/>
    <tableColumn id="4" xr3:uid="{651714C5-1253-4DD5-9527-99F0843A7077}" name="[2YA]" totalsRowFunction="sum" headerRowDxfId="136" dataDxfId="135" totalsRowDxfId="137"/>
    <tableColumn id="5" xr3:uid="{F09430BA-B0A1-4127-8D7F-71BC23C4FD90}" name="[CYxLY]" totalsRowFunction="custom" headerRowDxfId="133" dataDxfId="132" totalsRowDxfId="134">
      <totalsRowFormula>ProdutoSacaAcumulado[[#Totals],['[CY']]]/ProdutoSacaAcumulado[[#Totals],['[LY']]]-1</totalsRowFormula>
    </tableColumn>
    <tableColumn id="6" xr3:uid="{6238E165-2F9E-4483-83C5-C3235A0FDB5A}" name="[CYx2YA]" totalsRowFunction="custom" headerRowDxfId="130" dataDxfId="129" totalsRowDxfId="131">
      <totalsRowFormula>ProdutoSacaAcumulado[[#Totals],['[CY']]]/ProdutoSacaAcumulado[[#Totals],['[2YA']]]-1</totalsRowFormula>
    </tableColumn>
  </tableColumns>
  <tableStyleInfo name="ABICS table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F1117035-D609-486C-A4B2-2455DF244D86}" name="ProdutoReceitaAcumulado" displayName="ProdutoReceitaAcumulado" ref="C55:H59" headerRowCount="0" totalsRowCount="1" headerRowDxfId="128" dataDxfId="127" totalsRowDxfId="126">
  <tableColumns count="6">
    <tableColumn id="1" xr3:uid="{0ADBE758-FC38-493D-8CB6-3BE4491EE453}" name="Exp_Consolidado[ds_ClassificacaoCafe]" totalsRowLabel="Total" headerRowDxfId="124" dataDxfId="123" totalsRowDxfId="125"/>
    <tableColumn id="2" xr3:uid="{FE3D6A6B-0BE8-49ED-A611-5E04C3E767B5}" name="[CY]" totalsRowFunction="sum" headerRowDxfId="121" dataDxfId="120" totalsRowDxfId="122"/>
    <tableColumn id="3" xr3:uid="{A26FB124-5D85-4389-BCDA-1F04C6154F8B}" name="[LY]" totalsRowFunction="sum" headerRowDxfId="118" dataDxfId="117" totalsRowDxfId="119"/>
    <tableColumn id="4" xr3:uid="{3E7D748F-5180-4966-98FC-07C5528BB6B8}" name="[2YA]" totalsRowFunction="sum" headerRowDxfId="115" dataDxfId="114" totalsRowDxfId="116"/>
    <tableColumn id="5" xr3:uid="{E161025C-CACC-4E03-9C2A-8D9972979713}" name="[CYxLY]" totalsRowFunction="custom" headerRowDxfId="112" dataDxfId="111" totalsRowDxfId="113">
      <totalsRowFormula>ProdutoReceitaAcumulado[[#Totals],['[CY']]]/ProdutoReceitaAcumulado[[#Totals],['[LY']]]-1</totalsRowFormula>
    </tableColumn>
    <tableColumn id="6" xr3:uid="{13A88CDB-748C-497A-9CFF-53F33103E6EF}" name="[CYx2YA]" totalsRowFunction="custom" headerRowDxfId="109" dataDxfId="108" totalsRowDxfId="110">
      <totalsRowFormula>ProdutoReceitaAcumulado[[#Totals],['[CY']]]/ProdutoReceitaAcumulado[[#Totals],['[2YA']]]-1</totalsRowFormula>
    </tableColumn>
  </tableColumns>
  <tableStyleInfo name="ABICS table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A1E5106-3607-4715-86F7-D45CFE55AFF3}" name="ProdutoPesoAnual" displayName="ProdutoPesoAnual" ref="C7:M11" headerRowCount="0" totalsRowCount="1" headerRowDxfId="107" dataDxfId="106" totalsRowDxfId="105">
  <tableColumns count="11">
    <tableColumn id="1" xr3:uid="{03838411-0818-4C44-8E7D-78D614015FD7}" name="Exp_Consolidado[ds_ClassificacaoCafe]" totalsRowLabel="Total" headerRowDxfId="103" dataDxfId="102" totalsRowDxfId="104"/>
    <tableColumn id="2" xr3:uid="{C52C1086-B60A-4674-9F3A-68D79FA4F4E5}" name="[9YA]" totalsRowFunction="sum" headerRowDxfId="100" dataDxfId="99" totalsRowDxfId="101"/>
    <tableColumn id="3" xr3:uid="{31FC19E5-674C-48D6-BE29-F8F1C264FCED}" name="[8YA]" totalsRowFunction="sum" headerRowDxfId="97" dataDxfId="96" totalsRowDxfId="98"/>
    <tableColumn id="4" xr3:uid="{478C61C6-F39F-44BF-9B06-9371FB789F7A}" name="[7YA]" totalsRowFunction="sum" headerRowDxfId="94" dataDxfId="93" totalsRowDxfId="95"/>
    <tableColumn id="5" xr3:uid="{AFC1744C-EA8F-4B8D-A7C6-22BD37D3404E}" name="[6YA]" totalsRowFunction="sum" headerRowDxfId="91" dataDxfId="90" totalsRowDxfId="92"/>
    <tableColumn id="6" xr3:uid="{C10F0C32-4BC4-4449-B2E8-7C6724B9538B}" name="[5YA]" totalsRowFunction="sum" headerRowDxfId="88" dataDxfId="87" totalsRowDxfId="89"/>
    <tableColumn id="8" xr3:uid="{D26C9577-EE95-4447-AAB0-B91C50E27F82}" name="[4YA]" totalsRowFunction="sum" headerRowDxfId="85" dataDxfId="84" totalsRowDxfId="86"/>
    <tableColumn id="9" xr3:uid="{D3EA8C47-D1D1-40BD-9272-D066B636897C}" name="[3YA]" totalsRowFunction="sum" headerRowDxfId="82" dataDxfId="81" totalsRowDxfId="83"/>
    <tableColumn id="10" xr3:uid="{51D2E7A3-BFDD-4ADF-9BDC-118EF3306186}" name="[2YA]" totalsRowFunction="sum" headerRowDxfId="79" dataDxfId="78" totalsRowDxfId="80"/>
    <tableColumn id="11" xr3:uid="{FDA16DE7-65BA-40CE-B5B4-0F158011A5ED}" name="[LY]" totalsRowFunction="sum" headerRowDxfId="76" dataDxfId="75" totalsRowDxfId="77"/>
    <tableColumn id="12" xr3:uid="{73C4DAB8-9429-49A4-BDB2-CC0539F311AE}" name="[CY]" totalsRowFunction="sum" headerRowDxfId="73" dataDxfId="72" totalsRowDxfId="74"/>
  </tableColumns>
  <tableStyleInfo name="ABICS table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2BF695E-0834-41ED-96FF-BEF526DFB0B5}" name="ProdutoSacaAnual" displayName="ProdutoSacaAnual" ref="C17:M21" headerRowCount="0" totalsRowCount="1" headerRowDxfId="71" dataDxfId="70" totalsRowDxfId="69">
  <tableColumns count="11">
    <tableColumn id="1" xr3:uid="{BEA03C2A-1A3E-4C2B-8BDB-0EBE73A7A0A3}" name="Exp_Consolidado[ds_ClassificacaoCafe]" totalsRowLabel="Total" headerRowDxfId="67" dataDxfId="66" totalsRowDxfId="68"/>
    <tableColumn id="2" xr3:uid="{DB34A44A-DBE3-4B70-8F26-8A256390D163}" name="[9YA]" totalsRowFunction="sum" headerRowDxfId="64" dataDxfId="63" totalsRowDxfId="65"/>
    <tableColumn id="3" xr3:uid="{D679A784-9F59-4D22-97A1-C7CE0CC04B07}" name="[8YA]" totalsRowFunction="sum" headerRowDxfId="61" dataDxfId="60" totalsRowDxfId="62"/>
    <tableColumn id="4" xr3:uid="{27E72520-A75F-4393-AF59-D08D652FC797}" name="[7YA]" totalsRowFunction="sum" headerRowDxfId="58" dataDxfId="57" totalsRowDxfId="59"/>
    <tableColumn id="5" xr3:uid="{1CBB5311-4E3C-4EAB-8BE7-B67DBBFC76A1}" name="[6YA]" totalsRowFunction="sum" headerRowDxfId="55" dataDxfId="54" totalsRowDxfId="56"/>
    <tableColumn id="6" xr3:uid="{459E4F86-DF9C-4C7D-964B-E5B809076339}" name="[5YA]" totalsRowFunction="sum" headerRowDxfId="52" dataDxfId="51" totalsRowDxfId="53"/>
    <tableColumn id="8" xr3:uid="{FB9D3C81-5824-4726-B993-61B8B60FFD21}" name="[4YA]" totalsRowFunction="sum" headerRowDxfId="49" dataDxfId="48" totalsRowDxfId="50"/>
    <tableColumn id="9" xr3:uid="{6878D2BB-EF40-4786-BD26-C2B8D97E1CA2}" name="[3YA]" totalsRowFunction="sum" headerRowDxfId="46" dataDxfId="45" totalsRowDxfId="47"/>
    <tableColumn id="10" xr3:uid="{5DB7664E-4929-4F78-8318-45BD0948B9E1}" name="[2YA]" totalsRowFunction="sum" headerRowDxfId="43" dataDxfId="42" totalsRowDxfId="44"/>
    <tableColumn id="11" xr3:uid="{86CE01CC-4770-4828-817C-DAA2C3A30905}" name="[LY]" totalsRowFunction="sum" headerRowDxfId="40" dataDxfId="39" totalsRowDxfId="41"/>
    <tableColumn id="12" xr3:uid="{DF2B3413-DD9C-4F6E-9818-0F266BAC3AC9}" name="[CY]" totalsRowFunction="sum" headerRowDxfId="37" dataDxfId="36" totalsRowDxfId="38"/>
  </tableColumns>
  <tableStyleInfo name="ABICS table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FC099403-1EF2-4D8E-8B43-5858975CCFB7}" name="ProdutoReceitaAnual" displayName="ProdutoReceitaAnual" ref="C27:M31" headerRowCount="0" totalsRowCount="1" headerRowDxfId="35" dataDxfId="34" totalsRowDxfId="33">
  <tableColumns count="11">
    <tableColumn id="1" xr3:uid="{DAF45AA8-E30C-461D-8A6C-42E716288C32}" name="Exp_Consolidado[ds_ClassificacaoCafe]" totalsRowLabel="Total" headerRowDxfId="31" dataDxfId="30" totalsRowDxfId="32"/>
    <tableColumn id="2" xr3:uid="{73AEB133-1662-4196-BBB0-EE052D7F2D26}" name="[9YA]" totalsRowFunction="sum" headerRowDxfId="28" dataDxfId="27" totalsRowDxfId="29"/>
    <tableColumn id="3" xr3:uid="{B2C5B3E9-193D-45C1-A92B-C5019CCBC2C2}" name="[8YA]" totalsRowFunction="sum" headerRowDxfId="25" dataDxfId="24" totalsRowDxfId="26"/>
    <tableColumn id="4" xr3:uid="{6B9EF9C7-3CB8-4D73-A518-7BC614525B42}" name="[7YA]" totalsRowFunction="sum" headerRowDxfId="22" dataDxfId="21" totalsRowDxfId="23"/>
    <tableColumn id="5" xr3:uid="{94CAFD0B-949C-4D6D-B9E2-F10B24F1EC1F}" name="[6YA]" totalsRowFunction="sum" headerRowDxfId="19" dataDxfId="18" totalsRowDxfId="20"/>
    <tableColumn id="6" xr3:uid="{C0119090-8809-47C2-BD31-DABCD0B19B68}" name="[5YA]" totalsRowFunction="sum" headerRowDxfId="16" dataDxfId="15" totalsRowDxfId="17"/>
    <tableColumn id="8" xr3:uid="{5B9C2311-EBA5-4854-A24A-708A75A8BABB}" name="[4YA]" totalsRowFunction="sum" headerRowDxfId="13" dataDxfId="12" totalsRowDxfId="14"/>
    <tableColumn id="9" xr3:uid="{B78B0ECC-6258-47A1-992B-258AC1EE6B28}" name="[3YA]" totalsRowFunction="sum" headerRowDxfId="10" dataDxfId="9" totalsRowDxfId="11"/>
    <tableColumn id="10" xr3:uid="{75725C4E-0AA3-40E4-BFF2-CDA1543A7E6C}" name="[2YA]" totalsRowFunction="sum" headerRowDxfId="7" dataDxfId="6" totalsRowDxfId="8"/>
    <tableColumn id="11" xr3:uid="{BB8CF4A1-D7F4-4DCC-A78B-8D947DC99364}" name="[LY]" totalsRowFunction="sum" headerRowDxfId="4" dataDxfId="3" totalsRowDxfId="5"/>
    <tableColumn id="12" xr3:uid="{A22314BC-C02C-4CAA-9870-106037CF12F5}" name="[CY]" totalsRowFunction="sum" headerRowDxfId="1" dataDxfId="0" totalsRowDxfId="2"/>
  </tableColumns>
  <tableStyleInfo name="ABICS tabl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ABIC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682F26"/>
      </a:accent1>
      <a:accent2>
        <a:srgbClr val="AFC800"/>
      </a:accent2>
      <a:accent3>
        <a:srgbClr val="3273B4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3.xml"/><Relationship Id="rId4" Type="http://schemas.openxmlformats.org/officeDocument/2006/relationships/table" Target="../tables/table1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16.xml"/><Relationship Id="rId4" Type="http://schemas.openxmlformats.org/officeDocument/2006/relationships/table" Target="../tables/table1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19.xml"/><Relationship Id="rId4" Type="http://schemas.openxmlformats.org/officeDocument/2006/relationships/table" Target="../tables/table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table" Target="../tables/table22.xml"/><Relationship Id="rId4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732A6-7650-447F-A0D9-2B7C573E4B68}">
  <dimension ref="A1:L99"/>
  <sheetViews>
    <sheetView showGridLines="0" showRowColHeaders="0" tabSelected="1" zoomScaleNormal="100" workbookViewId="0">
      <pane ySplit="4" topLeftCell="A5" activePane="bottomLeft" state="frozen"/>
      <selection pane="bottomLeft"/>
    </sheetView>
  </sheetViews>
  <sheetFormatPr defaultColWidth="0" defaultRowHeight="16.5" customHeight="1" zeroHeight="1"/>
  <cols>
    <col min="1" max="2" width="3.140625" style="1" customWidth="1"/>
    <col min="3" max="3" width="7.140625" style="1" customWidth="1"/>
    <col min="4" max="6" width="18.5703125" style="1" customWidth="1"/>
    <col min="7" max="8" width="13.5703125" style="1" customWidth="1"/>
    <col min="9" max="10" width="3.140625" style="1" customWidth="1"/>
    <col min="11" max="16384" width="8.7109375" style="1" hidden="1"/>
  </cols>
  <sheetData>
    <row r="1" spans="1:12" ht="29.45" customHeight="1">
      <c r="A1" s="9"/>
      <c r="C1" s="10" t="s">
        <v>0</v>
      </c>
      <c r="J1" s="9"/>
    </row>
    <row r="2" spans="1:12" ht="21" customHeight="1">
      <c r="A2" s="9"/>
      <c r="C2" s="11" t="s">
        <v>1</v>
      </c>
      <c r="J2" s="9"/>
    </row>
    <row r="3" spans="1:12" ht="14.45" customHeight="1">
      <c r="A3" s="9"/>
      <c r="C3" s="13" t="str" cm="1">
        <f t="array" ref="C3">"Período: janeiro a "&amp;Periodo[Mês]&amp;" de "&amp;Periodo[Ano]</f>
        <v>Período: janeiro a janeiro de 2024</v>
      </c>
      <c r="D3" s="14"/>
      <c r="E3" s="14"/>
      <c r="F3" s="13" t="s">
        <v>2</v>
      </c>
      <c r="J3" s="9"/>
    </row>
    <row r="4" spans="1:12" ht="7.5" customHeight="1">
      <c r="A4" s="9"/>
      <c r="J4" s="9"/>
    </row>
    <row r="5" spans="1:12" ht="21">
      <c r="A5" s="9"/>
      <c r="C5" s="6" t="s">
        <v>3</v>
      </c>
      <c r="J5" s="9"/>
      <c r="K5" s="1" t="s">
        <v>4</v>
      </c>
      <c r="L5" s="1" t="s">
        <v>5</v>
      </c>
    </row>
    <row r="6" spans="1:12">
      <c r="A6" s="9"/>
      <c r="C6" s="3" t="s">
        <v>4</v>
      </c>
      <c r="D6" s="4" cm="1">
        <f t="array" ref="D6">Periodo[Ano]</f>
        <v>2024</v>
      </c>
      <c r="E6" s="4" cm="1">
        <f t="array" ref="E6">Periodo[Ano]-1</f>
        <v>2023</v>
      </c>
      <c r="F6" s="4" cm="1">
        <f t="array" ref="F6">Periodo[Ano]-2</f>
        <v>2022</v>
      </c>
      <c r="G6" s="4" t="str" cm="1">
        <f t="array" ref="G6">Periodo[Ano]&amp;"x"&amp;Periodo[Ano]-1</f>
        <v>2024x2023</v>
      </c>
      <c r="H6" s="4" t="str" cm="1">
        <f t="array" ref="H6">Periodo[Ano]&amp;"x"&amp;Periodo[Ano]-2</f>
        <v>2024x2022</v>
      </c>
      <c r="I6" s="5"/>
      <c r="J6" s="9"/>
      <c r="K6" s="1" t="s">
        <v>6</v>
      </c>
      <c r="L6" s="1">
        <v>2024</v>
      </c>
    </row>
    <row r="7" spans="1:12">
      <c r="A7" s="9"/>
      <c r="C7" s="15" t="s">
        <v>7</v>
      </c>
      <c r="D7" s="16">
        <v>6842037.0553000001</v>
      </c>
      <c r="E7" s="16">
        <v>7490670.5899999999</v>
      </c>
      <c r="F7" s="16">
        <v>7393993.7800000003</v>
      </c>
      <c r="G7" s="17">
        <v>-8.6592185159753296E-2</v>
      </c>
      <c r="H7" s="17">
        <v>-7.46493358153731E-2</v>
      </c>
      <c r="J7" s="9"/>
    </row>
    <row r="8" spans="1:12">
      <c r="A8" s="9"/>
      <c r="C8" s="2" t="s">
        <v>8</v>
      </c>
      <c r="D8" s="12">
        <f>SUBTOTAL(109,MensalPesoBL['[CY']])</f>
        <v>6842037.0553000001</v>
      </c>
      <c r="E8" s="12">
        <f>SUBTOTAL(109,MensalPesoBL['[LY']])</f>
        <v>7490670.5899999999</v>
      </c>
      <c r="F8" s="12">
        <f>SUBTOTAL(109,MensalPesoBL['[2YA']])</f>
        <v>7393993.7800000003</v>
      </c>
      <c r="G8" s="8">
        <f>MensalPesoBL[[#Totals],['[CY']]]/MensalPesoBL[[#Totals],['[LY']]]-1</f>
        <v>-8.6592185159753421E-2</v>
      </c>
      <c r="H8" s="8">
        <f>MensalPesoBL[[#Totals],['[CY']]]/MensalPesoBL[[#Totals],['[2YA']]]-1</f>
        <v>-7.4649335815373141E-2</v>
      </c>
      <c r="J8" s="9"/>
    </row>
    <row r="9" spans="1:12">
      <c r="A9" s="9"/>
      <c r="C9" s="7" t="s">
        <v>9</v>
      </c>
      <c r="J9" s="9"/>
    </row>
    <row r="10" spans="1:12">
      <c r="A10" s="9"/>
      <c r="J10" s="9"/>
    </row>
    <row r="11" spans="1:12">
      <c r="A11" s="9"/>
      <c r="J11" s="9"/>
    </row>
    <row r="12" spans="1:12">
      <c r="A12" s="9"/>
      <c r="J12" s="9"/>
    </row>
    <row r="13" spans="1:12">
      <c r="A13" s="9"/>
      <c r="J13" s="9"/>
    </row>
    <row r="14" spans="1:12">
      <c r="A14" s="9"/>
      <c r="J14" s="9"/>
    </row>
    <row r="15" spans="1:12">
      <c r="A15" s="9"/>
      <c r="J15" s="9"/>
    </row>
    <row r="16" spans="1:12">
      <c r="A16" s="9"/>
      <c r="J16" s="9"/>
    </row>
    <row r="17" spans="1:10">
      <c r="A17" s="9"/>
      <c r="J17" s="9"/>
    </row>
    <row r="18" spans="1:10">
      <c r="A18" s="9"/>
      <c r="J18" s="9"/>
    </row>
    <row r="19" spans="1:10">
      <c r="A19" s="9"/>
      <c r="J19" s="9"/>
    </row>
    <row r="20" spans="1:10">
      <c r="A20" s="9"/>
      <c r="J20" s="9"/>
    </row>
    <row r="21" spans="1:10" ht="16.5" customHeight="1">
      <c r="A21" s="9"/>
      <c r="J21" s="9"/>
    </row>
    <row r="22" spans="1:10" ht="16.5" customHeight="1">
      <c r="A22" s="9"/>
      <c r="J22" s="9"/>
    </row>
    <row r="23" spans="1:10" ht="16.5" customHeight="1">
      <c r="A23" s="9"/>
      <c r="J23" s="9"/>
    </row>
    <row r="24" spans="1:10" ht="16.5" customHeight="1">
      <c r="A24" s="9"/>
      <c r="J24" s="9"/>
    </row>
    <row r="25" spans="1:10" ht="16.5" customHeight="1">
      <c r="A25" s="9"/>
      <c r="J25" s="9"/>
    </row>
    <row r="26" spans="1:10" ht="16.5" customHeight="1">
      <c r="A26" s="9"/>
      <c r="C26" s="6" t="s">
        <v>10</v>
      </c>
      <c r="J26" s="9"/>
    </row>
    <row r="27" spans="1:10" ht="16.5" customHeight="1">
      <c r="A27" s="9"/>
      <c r="C27" s="3" t="s">
        <v>4</v>
      </c>
      <c r="D27" s="4" cm="1">
        <f t="array" ref="D27:H27">D6:H6</f>
        <v>2024</v>
      </c>
      <c r="E27" s="4">
        <v>2023</v>
      </c>
      <c r="F27" s="4">
        <v>2022</v>
      </c>
      <c r="G27" s="4" t="str">
        <v>2024x2023</v>
      </c>
      <c r="H27" s="4" t="str">
        <v>2024x2022</v>
      </c>
      <c r="J27" s="9"/>
    </row>
    <row r="28" spans="1:10" ht="16.5" customHeight="1">
      <c r="A28" s="9"/>
      <c r="C28" s="15" t="s">
        <v>7</v>
      </c>
      <c r="D28" s="16">
        <v>293467</v>
      </c>
      <c r="E28" s="16">
        <v>324431</v>
      </c>
      <c r="F28" s="16">
        <v>320429</v>
      </c>
      <c r="G28" s="17">
        <v>-9.5440941217084699E-2</v>
      </c>
      <c r="H28" s="17">
        <v>-8.4143445193786998E-2</v>
      </c>
      <c r="J28" s="9"/>
    </row>
    <row r="29" spans="1:10" ht="16.5" customHeight="1">
      <c r="A29" s="9"/>
      <c r="C29" s="2" t="s">
        <v>8</v>
      </c>
      <c r="D29" s="12">
        <f>SUBTOTAL(109,MensalSacaBL['[CY']])</f>
        <v>293467</v>
      </c>
      <c r="E29" s="12">
        <f>SUBTOTAL(109,MensalSacaBL['[LY']])</f>
        <v>324431</v>
      </c>
      <c r="F29" s="12">
        <f>SUBTOTAL(109,MensalSacaBL['[2YA']])</f>
        <v>320429</v>
      </c>
      <c r="G29" s="8">
        <f>MensalSacaBL[[#Totals],['[CY']]]/MensalSacaBL[[#Totals],['[LY']]]-1</f>
        <v>-9.5440941217084685E-2</v>
      </c>
      <c r="H29" s="8">
        <f>MensalSacaBL[[#Totals],['[CY']]]/MensalSacaBL[[#Totals],['[2YA']]]-1</f>
        <v>-8.4143445193787025E-2</v>
      </c>
      <c r="J29" s="9"/>
    </row>
    <row r="30" spans="1:10" ht="16.5" customHeight="1">
      <c r="A30" s="9"/>
      <c r="C30" s="7" t="s">
        <v>9</v>
      </c>
      <c r="J30" s="9"/>
    </row>
    <row r="31" spans="1:10" ht="16.5" customHeight="1">
      <c r="A31" s="9"/>
      <c r="J31" s="9"/>
    </row>
    <row r="32" spans="1:10" ht="16.5" customHeight="1">
      <c r="A32" s="9"/>
      <c r="J32" s="9"/>
    </row>
    <row r="33" spans="1:10" ht="16.5" customHeight="1">
      <c r="A33" s="9"/>
      <c r="J33" s="9"/>
    </row>
    <row r="34" spans="1:10" ht="16.5" customHeight="1">
      <c r="A34" s="9"/>
      <c r="J34" s="9"/>
    </row>
    <row r="35" spans="1:10" ht="16.5" customHeight="1">
      <c r="A35" s="9"/>
      <c r="J35" s="9"/>
    </row>
    <row r="36" spans="1:10" ht="16.5" customHeight="1">
      <c r="A36" s="9"/>
      <c r="J36" s="9"/>
    </row>
    <row r="37" spans="1:10" ht="16.5" customHeight="1">
      <c r="A37" s="9"/>
      <c r="J37" s="9"/>
    </row>
    <row r="38" spans="1:10" ht="16.5" customHeight="1">
      <c r="A38" s="9"/>
      <c r="J38" s="9"/>
    </row>
    <row r="39" spans="1:10" ht="16.5" customHeight="1">
      <c r="A39" s="9"/>
      <c r="J39" s="9"/>
    </row>
    <row r="40" spans="1:10" ht="16.5" customHeight="1">
      <c r="A40" s="9"/>
      <c r="J40" s="9"/>
    </row>
    <row r="41" spans="1:10" ht="16.5" customHeight="1">
      <c r="A41" s="9"/>
      <c r="J41" s="9"/>
    </row>
    <row r="42" spans="1:10" ht="16.5" customHeight="1">
      <c r="A42" s="9"/>
      <c r="J42" s="9"/>
    </row>
    <row r="43" spans="1:10" ht="16.5" customHeight="1">
      <c r="A43" s="9"/>
      <c r="J43" s="9"/>
    </row>
    <row r="44" spans="1:10" ht="16.5" customHeight="1">
      <c r="A44" s="9"/>
      <c r="J44" s="9"/>
    </row>
    <row r="45" spans="1:10" ht="16.5" customHeight="1">
      <c r="A45" s="9"/>
      <c r="J45" s="9"/>
    </row>
    <row r="46" spans="1:10" ht="16.5" customHeight="1">
      <c r="A46" s="9"/>
      <c r="J46" s="9"/>
    </row>
    <row r="47" spans="1:10" ht="16.5" customHeight="1">
      <c r="A47" s="9"/>
      <c r="C47" s="6" t="s">
        <v>11</v>
      </c>
      <c r="J47" s="9"/>
    </row>
    <row r="48" spans="1:10" ht="16.5" customHeight="1">
      <c r="A48" s="9"/>
      <c r="C48" s="3" t="s">
        <v>4</v>
      </c>
      <c r="D48" s="4" cm="1">
        <f t="array" ref="D48:H48">D6:H6</f>
        <v>2024</v>
      </c>
      <c r="E48" s="4">
        <v>2023</v>
      </c>
      <c r="F48" s="4">
        <v>2022</v>
      </c>
      <c r="G48" s="4" t="str">
        <v>2024x2023</v>
      </c>
      <c r="H48" s="4" t="str">
        <v>2024x2022</v>
      </c>
      <c r="J48" s="9"/>
    </row>
    <row r="49" spans="1:10" ht="16.5" customHeight="1">
      <c r="A49" s="9"/>
      <c r="C49" s="15" t="s">
        <v>7</v>
      </c>
      <c r="D49" s="16">
        <v>55795886.883699998</v>
      </c>
      <c r="E49" s="16">
        <v>61258619.975500003</v>
      </c>
      <c r="F49" s="16">
        <v>52425681.520000003</v>
      </c>
      <c r="G49" s="17">
        <v>-8.9174929079119794E-2</v>
      </c>
      <c r="H49" s="17">
        <v>6.4285389640844195E-2</v>
      </c>
      <c r="J49" s="9"/>
    </row>
    <row r="50" spans="1:10" ht="16.5" customHeight="1">
      <c r="A50" s="9"/>
      <c r="C50" s="2" t="s">
        <v>8</v>
      </c>
      <c r="D50" s="12">
        <f>SUBTOTAL(109,MensalReceitaBL['[CY']])</f>
        <v>55795886.883699998</v>
      </c>
      <c r="E50" s="12">
        <f>SUBTOTAL(109,MensalReceitaBL['[LY']])</f>
        <v>61258619.975500003</v>
      </c>
      <c r="F50" s="12">
        <f>SUBTOTAL(109,MensalReceitaBL['[2YA']])</f>
        <v>52425681.520000003</v>
      </c>
      <c r="G50" s="8">
        <f>MensalReceitaBL[[#Totals],['[CY']]]/MensalReceitaBL[[#Totals],['[LY']]]-1</f>
        <v>-8.9174929079120502E-2</v>
      </c>
      <c r="H50" s="8">
        <f>MensalReceitaBL[[#Totals],['[CY']]]/MensalReceitaBL[[#Totals],['[2YA']]]-1</f>
        <v>6.428538964084396E-2</v>
      </c>
      <c r="J50" s="9"/>
    </row>
    <row r="51" spans="1:10" ht="16.5" customHeight="1">
      <c r="A51" s="9"/>
      <c r="C51" s="7" t="s">
        <v>9</v>
      </c>
      <c r="J51" s="9"/>
    </row>
    <row r="52" spans="1:10" ht="16.5" customHeight="1">
      <c r="A52" s="9"/>
      <c r="J52" s="9"/>
    </row>
    <row r="53" spans="1:10" ht="16.5" customHeight="1">
      <c r="A53" s="9"/>
      <c r="J53" s="9"/>
    </row>
    <row r="54" spans="1:10" ht="16.5" customHeight="1">
      <c r="A54" s="9"/>
      <c r="J54" s="9"/>
    </row>
    <row r="55" spans="1:10" ht="16.5" customHeight="1">
      <c r="A55" s="9"/>
      <c r="J55" s="9"/>
    </row>
    <row r="56" spans="1:10" ht="16.5" customHeight="1">
      <c r="A56" s="9"/>
      <c r="J56" s="9"/>
    </row>
    <row r="57" spans="1:10" ht="16.5" customHeight="1">
      <c r="A57" s="9"/>
      <c r="J57" s="9"/>
    </row>
    <row r="58" spans="1:10" ht="16.5" customHeight="1">
      <c r="A58" s="9"/>
      <c r="J58" s="9"/>
    </row>
    <row r="59" spans="1:10" ht="16.5" customHeight="1">
      <c r="A59" s="9"/>
      <c r="J59" s="9"/>
    </row>
    <row r="60" spans="1:10" ht="16.5" customHeight="1">
      <c r="A60" s="9"/>
      <c r="J60" s="9"/>
    </row>
    <row r="61" spans="1:10" ht="16.5" customHeight="1">
      <c r="A61" s="9"/>
      <c r="J61" s="9"/>
    </row>
    <row r="62" spans="1:10" ht="16.5" customHeight="1">
      <c r="A62" s="9"/>
      <c r="J62" s="9"/>
    </row>
    <row r="63" spans="1:10" ht="16.5" customHeight="1">
      <c r="A63" s="9"/>
      <c r="J63" s="9"/>
    </row>
    <row r="64" spans="1:10" ht="16.5" customHeight="1">
      <c r="A64" s="9"/>
      <c r="J64" s="9"/>
    </row>
    <row r="65" spans="1:10" ht="16.5" customHeight="1">
      <c r="A65" s="9"/>
      <c r="J65" s="9"/>
    </row>
    <row r="66" spans="1:10" ht="16.5" customHeight="1">
      <c r="A66" s="9"/>
      <c r="J66" s="9"/>
    </row>
    <row r="67" spans="1:10" ht="16.5" customHeight="1">
      <c r="A67" s="9"/>
      <c r="J67" s="9"/>
    </row>
    <row r="68" spans="1:10" ht="16.5" customHeight="1">
      <c r="A68" s="9"/>
      <c r="J68" s="9"/>
    </row>
    <row r="69" spans="1:10" ht="16.5" customHeight="1">
      <c r="A69" s="9"/>
      <c r="J69" s="9"/>
    </row>
    <row r="70" spans="1:10" ht="16.5" customHeight="1">
      <c r="A70" s="9"/>
      <c r="J70" s="9"/>
    </row>
    <row r="71" spans="1:10" ht="16.5" customHeight="1">
      <c r="A71" s="9"/>
      <c r="J71" s="9"/>
    </row>
    <row r="72" spans="1:10" ht="16.5" customHeight="1">
      <c r="A72" s="9"/>
      <c r="J72" s="9"/>
    </row>
    <row r="73" spans="1:10" ht="16.5" customHeight="1">
      <c r="A73" s="9"/>
      <c r="J73" s="9"/>
    </row>
    <row r="74" spans="1:10" ht="16.5" customHeight="1">
      <c r="A74" s="9"/>
      <c r="J74" s="9"/>
    </row>
    <row r="75" spans="1:10" ht="16.5" customHeight="1">
      <c r="A75" s="9"/>
      <c r="J75" s="9"/>
    </row>
    <row r="76" spans="1:10" ht="16.5" customHeight="1">
      <c r="A76" s="9"/>
      <c r="J76" s="9"/>
    </row>
    <row r="77" spans="1:10" ht="16.5" customHeight="1">
      <c r="A77" s="9"/>
      <c r="J77" s="9"/>
    </row>
    <row r="78" spans="1:10" ht="16.5" customHeight="1">
      <c r="A78" s="9"/>
      <c r="J78" s="9"/>
    </row>
    <row r="79" spans="1:10" ht="16.5" customHeight="1">
      <c r="A79" s="9"/>
      <c r="J79" s="9"/>
    </row>
    <row r="80" spans="1:10" ht="16.5" customHeight="1">
      <c r="A80" s="9"/>
      <c r="J80" s="9"/>
    </row>
    <row r="81" spans="1:10" ht="16.5" customHeight="1">
      <c r="A81" s="9"/>
      <c r="J81" s="9"/>
    </row>
    <row r="82" spans="1:10" ht="16.5" customHeight="1">
      <c r="A82" s="9"/>
      <c r="J82" s="9"/>
    </row>
    <row r="83" spans="1:10" ht="16.5" customHeight="1">
      <c r="A83" s="9"/>
      <c r="J83" s="9"/>
    </row>
    <row r="84" spans="1:10" ht="16.5" customHeight="1">
      <c r="A84" s="9"/>
      <c r="J84" s="9"/>
    </row>
    <row r="85" spans="1:10" ht="16.5" customHeight="1">
      <c r="A85" s="9"/>
      <c r="J85" s="9"/>
    </row>
    <row r="86" spans="1:10" ht="16.5" customHeight="1">
      <c r="A86" s="9"/>
      <c r="J86" s="9"/>
    </row>
    <row r="87" spans="1:10" ht="16.5" customHeight="1">
      <c r="A87" s="9"/>
      <c r="J87" s="9"/>
    </row>
    <row r="88" spans="1:10" ht="16.5" customHeight="1">
      <c r="A88" s="9"/>
      <c r="J88" s="9"/>
    </row>
    <row r="89" spans="1:10" ht="16.5" customHeight="1">
      <c r="A89" s="9"/>
      <c r="J89" s="9"/>
    </row>
    <row r="90" spans="1:10" ht="16.5" customHeight="1">
      <c r="A90" s="9"/>
      <c r="J90" s="9"/>
    </row>
    <row r="91" spans="1:10" ht="16.5" customHeight="1">
      <c r="A91" s="9"/>
      <c r="J91" s="9"/>
    </row>
    <row r="92" spans="1:10" ht="16.5" customHeight="1">
      <c r="A92" s="9"/>
      <c r="J92" s="9"/>
    </row>
    <row r="93" spans="1:10" ht="16.5" customHeight="1">
      <c r="A93" s="9"/>
      <c r="J93" s="9"/>
    </row>
    <row r="94" spans="1:10" ht="16.5" customHeight="1">
      <c r="A94" s="9"/>
      <c r="J94" s="9"/>
    </row>
    <row r="95" spans="1:10" ht="16.5" hidden="1" customHeight="1">
      <c r="A95" s="9"/>
      <c r="J95" s="9"/>
    </row>
    <row r="96" spans="1:10" ht="16.5" hidden="1" customHeight="1">
      <c r="A96" s="9"/>
      <c r="J96" s="9"/>
    </row>
    <row r="97" spans="1:10" ht="16.5" hidden="1" customHeight="1">
      <c r="A97" s="9"/>
      <c r="J97" s="9"/>
    </row>
    <row r="98" spans="1:10" ht="16.5" hidden="1" customHeight="1">
      <c r="A98" s="9"/>
      <c r="J98" s="9"/>
    </row>
    <row r="99" spans="1:10" ht="16.5" customHeight="1"/>
  </sheetData>
  <pageMargins left="0.7" right="0.7" top="0.75" bottom="0.75" header="0.3" footer="0.3"/>
  <pageSetup paperSize="9" orientation="landscape" horizontalDpi="0" verticalDpi="0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3DED6-EBB8-4A3D-9CF0-4F58320A0C61}">
  <dimension ref="A1:J913"/>
  <sheetViews>
    <sheetView showGridLines="0" showRowColHeaders="0" zoomScaleNormal="100" workbookViewId="0">
      <pane ySplit="4" topLeftCell="A5" activePane="bottomLeft" state="frozen"/>
      <selection pane="bottomLeft"/>
    </sheetView>
  </sheetViews>
  <sheetFormatPr defaultColWidth="0" defaultRowHeight="16.5" customHeight="1" zeroHeight="1"/>
  <cols>
    <col min="1" max="2" width="3.140625" style="1" customWidth="1"/>
    <col min="3" max="3" width="28.5703125" style="1" customWidth="1"/>
    <col min="4" max="6" width="18.5703125" style="1" customWidth="1"/>
    <col min="7" max="8" width="13.5703125" style="1" customWidth="1"/>
    <col min="9" max="10" width="3.140625" style="1" customWidth="1"/>
    <col min="11" max="16384" width="8.7109375" style="1" hidden="1"/>
  </cols>
  <sheetData>
    <row r="1" spans="1:10" ht="29.45" customHeight="1">
      <c r="A1" s="9"/>
      <c r="C1" s="10" t="s">
        <v>0</v>
      </c>
      <c r="J1" s="9"/>
    </row>
    <row r="2" spans="1:10" ht="21" customHeight="1">
      <c r="A2" s="9"/>
      <c r="C2" s="11" t="s">
        <v>12</v>
      </c>
      <c r="J2" s="9"/>
    </row>
    <row r="3" spans="1:10" ht="14.45" customHeight="1">
      <c r="A3" s="9"/>
      <c r="C3" s="13" t="str" cm="1">
        <f t="array" ref="C3">"Período: "&amp;Periodo[Mês]&amp;" de "&amp;Periodo[Ano]</f>
        <v>Período: janeiro de 2024</v>
      </c>
      <c r="D3" s="14"/>
      <c r="E3" s="14"/>
      <c r="F3" s="13" t="s">
        <v>2</v>
      </c>
      <c r="J3" s="9"/>
    </row>
    <row r="4" spans="1:10" ht="7.5" customHeight="1">
      <c r="A4" s="9"/>
      <c r="J4" s="9"/>
    </row>
    <row r="5" spans="1:10" ht="21">
      <c r="A5" s="9"/>
      <c r="C5" s="6" t="s">
        <v>3</v>
      </c>
      <c r="J5" s="9"/>
    </row>
    <row r="6" spans="1:10">
      <c r="A6" s="9"/>
      <c r="C6" s="3" t="s">
        <v>13</v>
      </c>
      <c r="D6" s="4" t="str" cm="1">
        <f t="array" ref="D6">LEFT(Periodo[Mês],3)&amp;"/"&amp;Periodo[Ano]</f>
        <v>jan/2024</v>
      </c>
      <c r="E6" s="4" t="str" cm="1">
        <f t="array" ref="E6">LEFT(Periodo[Mês],3)&amp;"/"&amp;Periodo[Ano]-1</f>
        <v>jan/2023</v>
      </c>
      <c r="F6" s="4" t="str" cm="1">
        <f t="array" ref="F6">LEFT(Periodo[Mês],3)&amp;"/"&amp;Periodo[Ano]-2</f>
        <v>jan/2022</v>
      </c>
      <c r="G6" s="4" t="str" cm="1">
        <f t="array" ref="G6">Periodo[Ano]&amp;"x"&amp;Periodo[Ano]-1</f>
        <v>2024x2023</v>
      </c>
      <c r="H6" s="4" t="str" cm="1">
        <f t="array" ref="H6">Periodo[Ano]&amp;"x"&amp;Periodo[Ano]-2</f>
        <v>2024x2022</v>
      </c>
      <c r="I6" s="5"/>
      <c r="J6" s="9"/>
    </row>
    <row r="7" spans="1:10">
      <c r="A7" s="9"/>
      <c r="C7" s="15" t="s">
        <v>14</v>
      </c>
      <c r="D7" s="16">
        <v>1370398.4639999999</v>
      </c>
      <c r="E7" s="16">
        <v>2131705.2799999998</v>
      </c>
      <c r="F7" s="16">
        <v>1515351.26</v>
      </c>
      <c r="G7" s="17">
        <v>-0.35713511766504602</v>
      </c>
      <c r="H7" s="17">
        <v>-9.5656234845510196E-2</v>
      </c>
      <c r="J7" s="9"/>
    </row>
    <row r="8" spans="1:10">
      <c r="A8" s="9"/>
      <c r="C8" s="15" t="s">
        <v>15</v>
      </c>
      <c r="D8" s="16">
        <v>485825</v>
      </c>
      <c r="E8" s="16">
        <v>276049</v>
      </c>
      <c r="F8" s="16">
        <v>268590</v>
      </c>
      <c r="G8" s="17">
        <v>0.75992305713840702</v>
      </c>
      <c r="H8" s="17">
        <v>0.808797795897092</v>
      </c>
      <c r="J8" s="9"/>
    </row>
    <row r="9" spans="1:10">
      <c r="A9" s="9"/>
      <c r="C9" s="15" t="s">
        <v>16</v>
      </c>
      <c r="D9" s="16">
        <v>457160</v>
      </c>
      <c r="E9" s="16">
        <v>323316</v>
      </c>
      <c r="F9" s="16">
        <v>414109.6</v>
      </c>
      <c r="G9" s="17">
        <v>0.41397270781526402</v>
      </c>
      <c r="H9" s="17">
        <v>0.103958951929634</v>
      </c>
      <c r="J9" s="9"/>
    </row>
    <row r="10" spans="1:10">
      <c r="A10" s="9"/>
      <c r="C10" s="15" t="s">
        <v>17</v>
      </c>
      <c r="D10" s="16">
        <v>326724.96000000002</v>
      </c>
      <c r="E10" s="16">
        <v>130362.72</v>
      </c>
      <c r="F10" s="16">
        <v>172898.64</v>
      </c>
      <c r="G10" s="17">
        <v>1.5062760273796101</v>
      </c>
      <c r="H10" s="17">
        <v>0.88969074597694897</v>
      </c>
      <c r="J10" s="9"/>
    </row>
    <row r="11" spans="1:10">
      <c r="A11" s="9"/>
      <c r="C11" s="15" t="s">
        <v>18</v>
      </c>
      <c r="D11" s="16">
        <v>316689.03999999998</v>
      </c>
      <c r="E11" s="16">
        <v>36042.239999999998</v>
      </c>
      <c r="F11" s="16">
        <v>200886.2</v>
      </c>
      <c r="G11" s="17">
        <v>7.7866081575396002</v>
      </c>
      <c r="H11" s="17">
        <v>0.57645990615582399</v>
      </c>
      <c r="J11" s="9"/>
    </row>
    <row r="12" spans="1:10">
      <c r="A12" s="9"/>
      <c r="C12" s="15" t="s">
        <v>19</v>
      </c>
      <c r="D12" s="16">
        <v>288850.40000000002</v>
      </c>
      <c r="E12" s="16">
        <v>131001.60000000001</v>
      </c>
      <c r="F12" s="16">
        <v>203040</v>
      </c>
      <c r="G12" s="17">
        <v>1.20493795495628</v>
      </c>
      <c r="H12" s="17">
        <v>0.42262805358549999</v>
      </c>
      <c r="J12" s="9"/>
    </row>
    <row r="13" spans="1:10">
      <c r="A13" s="9"/>
      <c r="C13" s="15" t="s">
        <v>20</v>
      </c>
      <c r="D13" s="16">
        <v>273448.40000000002</v>
      </c>
      <c r="E13" s="16">
        <v>131000</v>
      </c>
      <c r="F13" s="16">
        <v>742028.2</v>
      </c>
      <c r="G13" s="17">
        <v>1.08739236641221</v>
      </c>
      <c r="H13" s="17">
        <v>-0.63148516457999804</v>
      </c>
      <c r="J13" s="9"/>
    </row>
    <row r="14" spans="1:10">
      <c r="A14" s="9"/>
      <c r="C14" s="15" t="s">
        <v>21</v>
      </c>
      <c r="D14" s="16">
        <v>271419</v>
      </c>
      <c r="E14" s="16">
        <v>117600</v>
      </c>
      <c r="F14" s="16">
        <v>124220</v>
      </c>
      <c r="G14" s="17">
        <v>1.3079846938775499</v>
      </c>
      <c r="H14" s="17">
        <v>1.1849863146031201</v>
      </c>
      <c r="J14" s="9"/>
    </row>
    <row r="15" spans="1:10">
      <c r="A15" s="9"/>
      <c r="C15" s="15" t="s">
        <v>22</v>
      </c>
      <c r="D15" s="16">
        <v>208080</v>
      </c>
      <c r="E15" s="16">
        <v>173400</v>
      </c>
      <c r="F15" s="16"/>
      <c r="G15" s="17">
        <v>0.2</v>
      </c>
      <c r="H15" s="17"/>
      <c r="J15" s="9"/>
    </row>
    <row r="16" spans="1:10">
      <c r="A16" s="9"/>
      <c r="C16" s="15" t="s">
        <v>23</v>
      </c>
      <c r="D16" s="16">
        <v>207776.2</v>
      </c>
      <c r="E16" s="16">
        <v>74315.600000000006</v>
      </c>
      <c r="F16" s="16">
        <v>39453.4</v>
      </c>
      <c r="G16" s="17">
        <v>1.79586251069762</v>
      </c>
      <c r="H16" s="17">
        <v>4.2663699453025599</v>
      </c>
      <c r="J16" s="9"/>
    </row>
    <row r="17" spans="1:10">
      <c r="A17" s="9"/>
      <c r="C17" s="15" t="s">
        <v>24</v>
      </c>
      <c r="D17" s="16">
        <v>204553.92</v>
      </c>
      <c r="E17" s="16">
        <v>295337.40000000002</v>
      </c>
      <c r="F17" s="16">
        <v>107865.12</v>
      </c>
      <c r="G17" s="17">
        <v>-0.30738904046693699</v>
      </c>
      <c r="H17" s="17">
        <v>0.89638615337376903</v>
      </c>
      <c r="J17" s="9"/>
    </row>
    <row r="18" spans="1:10">
      <c r="A18" s="9"/>
      <c r="C18" s="15" t="s">
        <v>25</v>
      </c>
      <c r="D18" s="16">
        <v>196866</v>
      </c>
      <c r="E18" s="16">
        <v>322191.40000000002</v>
      </c>
      <c r="F18" s="16">
        <v>232410</v>
      </c>
      <c r="G18" s="17">
        <v>-0.38897810431935798</v>
      </c>
      <c r="H18" s="17">
        <v>-0.15293662062734001</v>
      </c>
      <c r="J18" s="9"/>
    </row>
    <row r="19" spans="1:10">
      <c r="A19" s="9"/>
      <c r="C19" s="15" t="s">
        <v>26</v>
      </c>
      <c r="D19" s="16">
        <v>196770</v>
      </c>
      <c r="E19" s="16">
        <v>75315.600000000006</v>
      </c>
      <c r="F19" s="16">
        <v>128908</v>
      </c>
      <c r="G19" s="17">
        <v>1.6126061533068801</v>
      </c>
      <c r="H19" s="17">
        <v>0.52643745927328001</v>
      </c>
      <c r="J19" s="9"/>
    </row>
    <row r="20" spans="1:10" ht="16.5" customHeight="1">
      <c r="A20" s="9"/>
      <c r="C20" s="15" t="s">
        <v>27</v>
      </c>
      <c r="D20" s="16">
        <v>179030</v>
      </c>
      <c r="E20" s="16">
        <v>822202.67299999995</v>
      </c>
      <c r="F20" s="16">
        <v>328999.59999999998</v>
      </c>
      <c r="G20" s="17">
        <v>-0.78225563370310303</v>
      </c>
      <c r="H20" s="17">
        <v>-0.45583520466286298</v>
      </c>
      <c r="J20" s="9"/>
    </row>
    <row r="21" spans="1:10" ht="16.5" customHeight="1">
      <c r="A21" s="9"/>
      <c r="C21" s="15" t="s">
        <v>28</v>
      </c>
      <c r="D21" s="16">
        <v>169684.56</v>
      </c>
      <c r="E21" s="16">
        <v>218206.8</v>
      </c>
      <c r="F21" s="16">
        <v>31521.439999999999</v>
      </c>
      <c r="G21" s="17">
        <v>-0.222368138848102</v>
      </c>
      <c r="H21" s="17">
        <v>4.3831474704201296</v>
      </c>
      <c r="J21" s="9"/>
    </row>
    <row r="22" spans="1:10" ht="16.5" customHeight="1">
      <c r="A22" s="9"/>
      <c r="C22" s="15" t="s">
        <v>29</v>
      </c>
      <c r="D22" s="16">
        <v>161160</v>
      </c>
      <c r="E22" s="16">
        <v>676305</v>
      </c>
      <c r="F22" s="16">
        <v>31680</v>
      </c>
      <c r="G22" s="17">
        <v>-0.76170514782531595</v>
      </c>
      <c r="H22" s="17">
        <v>4.0871212121212102</v>
      </c>
      <c r="J22" s="9"/>
    </row>
    <row r="23" spans="1:10" ht="16.5" customHeight="1">
      <c r="A23" s="9"/>
      <c r="C23" s="15" t="s">
        <v>30</v>
      </c>
      <c r="D23" s="16">
        <v>153420</v>
      </c>
      <c r="E23" s="16">
        <v>36150</v>
      </c>
      <c r="F23" s="16">
        <v>69457</v>
      </c>
      <c r="G23" s="17">
        <v>3.2439834024896301</v>
      </c>
      <c r="H23" s="17">
        <v>1.20884864016586</v>
      </c>
      <c r="J23" s="9"/>
    </row>
    <row r="24" spans="1:10" ht="16.5" customHeight="1">
      <c r="A24" s="9"/>
      <c r="C24" s="15" t="s">
        <v>31</v>
      </c>
      <c r="D24" s="16">
        <v>125857</v>
      </c>
      <c r="E24" s="16">
        <v>21663</v>
      </c>
      <c r="F24" s="16">
        <v>11088</v>
      </c>
      <c r="G24" s="17">
        <v>4.8097678068596199</v>
      </c>
      <c r="H24" s="17">
        <v>10.3507395382395</v>
      </c>
      <c r="J24" s="9"/>
    </row>
    <row r="25" spans="1:10" ht="16.5" customHeight="1">
      <c r="A25" s="9"/>
      <c r="C25" s="15" t="s">
        <v>32</v>
      </c>
      <c r="D25" s="16">
        <v>98181.36</v>
      </c>
      <c r="E25" s="16">
        <v>67949.7</v>
      </c>
      <c r="F25" s="16">
        <v>173580</v>
      </c>
      <c r="G25" s="17">
        <v>0.44491233956882797</v>
      </c>
      <c r="H25" s="17">
        <v>-0.43437400622191502</v>
      </c>
      <c r="J25" s="9"/>
    </row>
    <row r="26" spans="1:10" ht="16.5" customHeight="1">
      <c r="A26" s="9"/>
      <c r="C26" s="15" t="s">
        <v>33</v>
      </c>
      <c r="D26" s="16">
        <v>95703.360000000001</v>
      </c>
      <c r="E26" s="16">
        <v>36130.080000000002</v>
      </c>
      <c r="F26" s="16">
        <v>8380.7999999999993</v>
      </c>
      <c r="G26" s="17">
        <v>1.64885546890569</v>
      </c>
      <c r="H26" s="17">
        <v>10.419358533791501</v>
      </c>
      <c r="J26" s="9"/>
    </row>
    <row r="27" spans="1:10" ht="16.5" customHeight="1">
      <c r="A27" s="9"/>
      <c r="C27" s="15" t="s">
        <v>34</v>
      </c>
      <c r="D27" s="16">
        <v>91208.1</v>
      </c>
      <c r="E27" s="16">
        <v>77380.679999999993</v>
      </c>
      <c r="F27" s="16">
        <v>108799.2</v>
      </c>
      <c r="G27" s="17">
        <v>0.17869344130860601</v>
      </c>
      <c r="H27" s="17">
        <v>-0.16168409326539199</v>
      </c>
      <c r="J27" s="9"/>
    </row>
    <row r="28" spans="1:10" ht="16.5" customHeight="1">
      <c r="A28" s="9"/>
      <c r="C28" s="15" t="s">
        <v>35</v>
      </c>
      <c r="D28" s="16">
        <v>90375</v>
      </c>
      <c r="E28" s="16"/>
      <c r="F28" s="16">
        <v>30785</v>
      </c>
      <c r="G28" s="17"/>
      <c r="H28" s="17">
        <v>1.93568296248173</v>
      </c>
      <c r="J28" s="9"/>
    </row>
    <row r="29" spans="1:10" ht="16.5" customHeight="1">
      <c r="A29" s="9"/>
      <c r="C29" s="15" t="s">
        <v>36</v>
      </c>
      <c r="D29" s="16">
        <v>83791.821299999996</v>
      </c>
      <c r="E29" s="16">
        <v>51391.88</v>
      </c>
      <c r="F29" s="16">
        <v>141516.32</v>
      </c>
      <c r="G29" s="17">
        <v>0.63044864869703199</v>
      </c>
      <c r="H29" s="17">
        <v>-0.40789994185829598</v>
      </c>
      <c r="J29" s="9"/>
    </row>
    <row r="30" spans="1:10" ht="16.5" customHeight="1">
      <c r="A30" s="9"/>
      <c r="C30" s="15" t="s">
        <v>37</v>
      </c>
      <c r="D30" s="16">
        <v>79200</v>
      </c>
      <c r="E30" s="16">
        <v>21690</v>
      </c>
      <c r="F30" s="16">
        <v>672390</v>
      </c>
      <c r="G30" s="17">
        <v>2.6514522821576798</v>
      </c>
      <c r="H30" s="17">
        <v>-0.88221121670459102</v>
      </c>
      <c r="J30" s="9"/>
    </row>
    <row r="31" spans="1:10" ht="16.5" customHeight="1">
      <c r="A31" s="9"/>
      <c r="C31" s="15" t="s">
        <v>38</v>
      </c>
      <c r="D31" s="16">
        <v>74417.990000000005</v>
      </c>
      <c r="E31" s="16">
        <v>107863.73699999999</v>
      </c>
      <c r="F31" s="16">
        <v>5193.21</v>
      </c>
      <c r="G31" s="17">
        <v>-0.31007406131311799</v>
      </c>
      <c r="H31" s="17">
        <v>13.329863417808999</v>
      </c>
      <c r="J31" s="9"/>
    </row>
    <row r="32" spans="1:10" ht="16.5" customHeight="1">
      <c r="A32" s="9"/>
      <c r="C32" s="15" t="s">
        <v>39</v>
      </c>
      <c r="D32" s="16">
        <v>52138</v>
      </c>
      <c r="E32" s="16">
        <v>33120</v>
      </c>
      <c r="F32" s="16"/>
      <c r="G32" s="17">
        <v>0.57421497584541104</v>
      </c>
      <c r="H32" s="17"/>
      <c r="J32" s="9"/>
    </row>
    <row r="33" spans="1:10" ht="16.5" customHeight="1">
      <c r="A33" s="9"/>
      <c r="C33" s="15" t="s">
        <v>40</v>
      </c>
      <c r="D33" s="16">
        <v>48972</v>
      </c>
      <c r="E33" s="16">
        <v>80640</v>
      </c>
      <c r="F33" s="16">
        <v>114660</v>
      </c>
      <c r="G33" s="17">
        <v>-0.39270833333333299</v>
      </c>
      <c r="H33" s="17">
        <v>-0.57289377289377297</v>
      </c>
      <c r="J33" s="9"/>
    </row>
    <row r="34" spans="1:10" ht="16.5" customHeight="1">
      <c r="A34" s="9"/>
      <c r="C34" s="15" t="s">
        <v>41</v>
      </c>
      <c r="D34" s="16">
        <v>45752.4</v>
      </c>
      <c r="E34" s="16">
        <v>44928</v>
      </c>
      <c r="F34" s="16">
        <v>32557.8</v>
      </c>
      <c r="G34" s="17">
        <v>1.83493589743591E-2</v>
      </c>
      <c r="H34" s="17">
        <v>0.40526694064095198</v>
      </c>
      <c r="J34" s="9"/>
    </row>
    <row r="35" spans="1:10" ht="16.5" customHeight="1">
      <c r="A35" s="9"/>
      <c r="C35" s="15" t="s">
        <v>42</v>
      </c>
      <c r="D35" s="16">
        <v>43200</v>
      </c>
      <c r="E35" s="16">
        <v>28800</v>
      </c>
      <c r="F35" s="16"/>
      <c r="G35" s="17">
        <v>0.5</v>
      </c>
      <c r="H35" s="17"/>
      <c r="J35" s="9"/>
    </row>
    <row r="36" spans="1:10" ht="16.5" customHeight="1">
      <c r="A36" s="9"/>
      <c r="C36" s="15" t="s">
        <v>43</v>
      </c>
      <c r="D36" s="16">
        <v>39035</v>
      </c>
      <c r="E36" s="16">
        <v>13401</v>
      </c>
      <c r="F36" s="16">
        <v>12268</v>
      </c>
      <c r="G36" s="17">
        <v>1.9128423251996101</v>
      </c>
      <c r="H36" s="17">
        <v>2.1818552331268299</v>
      </c>
      <c r="J36" s="9"/>
    </row>
    <row r="37" spans="1:10" ht="16.5" customHeight="1">
      <c r="A37" s="9"/>
      <c r="C37" s="15" t="s">
        <v>44</v>
      </c>
      <c r="D37" s="16">
        <v>36270.639999999999</v>
      </c>
      <c r="E37" s="16">
        <v>28938.720000000001</v>
      </c>
      <c r="F37" s="16">
        <v>24452.37</v>
      </c>
      <c r="G37" s="17">
        <v>0.25336020390673802</v>
      </c>
      <c r="H37" s="17">
        <v>0.48331797694865603</v>
      </c>
      <c r="J37" s="9"/>
    </row>
    <row r="38" spans="1:10" ht="16.5" customHeight="1">
      <c r="A38" s="9"/>
      <c r="C38" s="15" t="s">
        <v>45</v>
      </c>
      <c r="D38" s="16">
        <v>32512.799999999999</v>
      </c>
      <c r="E38" s="16">
        <v>31008</v>
      </c>
      <c r="F38" s="16">
        <v>19276.8</v>
      </c>
      <c r="G38" s="17">
        <v>4.8529411764705897E-2</v>
      </c>
      <c r="H38" s="17">
        <v>0.68662848605577698</v>
      </c>
      <c r="J38" s="9"/>
    </row>
    <row r="39" spans="1:10" ht="16.5" customHeight="1">
      <c r="A39" s="9"/>
      <c r="C39" s="15" t="s">
        <v>46</v>
      </c>
      <c r="D39" s="16">
        <v>31056.6</v>
      </c>
      <c r="E39" s="16">
        <v>19212.599999999999</v>
      </c>
      <c r="F39" s="16">
        <v>14713.2</v>
      </c>
      <c r="G39" s="17">
        <v>0.61647044127291495</v>
      </c>
      <c r="H39" s="17">
        <v>1.11079846668298</v>
      </c>
      <c r="J39" s="9"/>
    </row>
    <row r="40" spans="1:10" ht="16.5" customHeight="1">
      <c r="A40" s="9"/>
      <c r="C40" s="15" t="s">
        <v>47</v>
      </c>
      <c r="D40" s="16">
        <v>29112</v>
      </c>
      <c r="E40" s="16">
        <v>9916.7999999999993</v>
      </c>
      <c r="F40" s="16">
        <v>7125.6</v>
      </c>
      <c r="G40" s="17">
        <v>1.93562439496612</v>
      </c>
      <c r="H40" s="17">
        <v>3.0855506904681702</v>
      </c>
      <c r="J40" s="9"/>
    </row>
    <row r="41" spans="1:10" ht="16.5" customHeight="1">
      <c r="A41" s="9"/>
      <c r="C41" s="15" t="s">
        <v>48</v>
      </c>
      <c r="D41" s="16">
        <v>23659.200000000001</v>
      </c>
      <c r="E41" s="16">
        <v>20731.2</v>
      </c>
      <c r="F41" s="16">
        <v>11640</v>
      </c>
      <c r="G41" s="17">
        <v>0.14123639731419299</v>
      </c>
      <c r="H41" s="17">
        <v>1.03257731958763</v>
      </c>
      <c r="J41" s="9"/>
    </row>
    <row r="42" spans="1:10" ht="16.5" customHeight="1">
      <c r="A42" s="9"/>
      <c r="C42" s="15" t="s">
        <v>49</v>
      </c>
      <c r="D42" s="16">
        <v>22112</v>
      </c>
      <c r="E42" s="16">
        <v>38016</v>
      </c>
      <c r="F42" s="16">
        <v>46173.599999999999</v>
      </c>
      <c r="G42" s="17">
        <v>-0.41835016835016797</v>
      </c>
      <c r="H42" s="17">
        <v>-0.52111163088864598</v>
      </c>
      <c r="J42" s="9"/>
    </row>
    <row r="43" spans="1:10" ht="16.5" customHeight="1">
      <c r="A43" s="9"/>
      <c r="C43" s="15" t="s">
        <v>50</v>
      </c>
      <c r="D43" s="16">
        <v>21000</v>
      </c>
      <c r="E43" s="16">
        <v>6019.2</v>
      </c>
      <c r="F43" s="16">
        <v>107061.2</v>
      </c>
      <c r="G43" s="17">
        <v>2.4888357256778302</v>
      </c>
      <c r="H43" s="17">
        <v>-0.80385050793377999</v>
      </c>
      <c r="J43" s="9"/>
    </row>
    <row r="44" spans="1:10" ht="16.5" customHeight="1">
      <c r="A44" s="9"/>
      <c r="C44" s="15" t="s">
        <v>51</v>
      </c>
      <c r="D44" s="16">
        <v>20683.2</v>
      </c>
      <c r="E44" s="16">
        <v>3645</v>
      </c>
      <c r="F44" s="16">
        <v>8396.4</v>
      </c>
      <c r="G44" s="17">
        <v>4.6744032921810703</v>
      </c>
      <c r="H44" s="17">
        <v>1.4633414320422999</v>
      </c>
      <c r="J44" s="9"/>
    </row>
    <row r="45" spans="1:10" ht="16.5" customHeight="1">
      <c r="A45" s="9"/>
      <c r="C45" s="15" t="s">
        <v>52</v>
      </c>
      <c r="D45" s="16">
        <v>20240</v>
      </c>
      <c r="E45" s="16">
        <v>19320</v>
      </c>
      <c r="F45" s="16">
        <v>19320</v>
      </c>
      <c r="G45" s="17">
        <v>4.76190476190477E-2</v>
      </c>
      <c r="H45" s="17">
        <v>4.76190476190477E-2</v>
      </c>
      <c r="J45" s="9"/>
    </row>
    <row r="46" spans="1:10" ht="16.5" customHeight="1">
      <c r="A46" s="9"/>
      <c r="C46" s="15" t="s">
        <v>53</v>
      </c>
      <c r="D46" s="16">
        <v>18255.36</v>
      </c>
      <c r="E46" s="16"/>
      <c r="F46" s="16"/>
      <c r="G46" s="17"/>
      <c r="H46" s="17"/>
      <c r="J46" s="9"/>
    </row>
    <row r="47" spans="1:10" ht="16.5" customHeight="1">
      <c r="A47" s="9"/>
      <c r="C47" s="15" t="s">
        <v>54</v>
      </c>
      <c r="D47" s="16">
        <v>17280</v>
      </c>
      <c r="E47" s="16">
        <v>17280</v>
      </c>
      <c r="F47" s="16"/>
      <c r="G47" s="17">
        <v>0</v>
      </c>
      <c r="H47" s="17"/>
      <c r="J47" s="9"/>
    </row>
    <row r="48" spans="1:10" ht="16.5" customHeight="1">
      <c r="A48" s="9"/>
      <c r="C48" s="15" t="s">
        <v>55</v>
      </c>
      <c r="D48" s="16">
        <v>17280</v>
      </c>
      <c r="E48" s="16"/>
      <c r="F48" s="16">
        <v>17280</v>
      </c>
      <c r="G48" s="17"/>
      <c r="H48" s="17">
        <v>0</v>
      </c>
      <c r="J48" s="9"/>
    </row>
    <row r="49" spans="1:10" ht="16.5" customHeight="1">
      <c r="A49" s="9"/>
      <c r="C49" s="15" t="s">
        <v>56</v>
      </c>
      <c r="D49" s="16">
        <v>14400</v>
      </c>
      <c r="E49" s="16"/>
      <c r="F49" s="16">
        <v>44640</v>
      </c>
      <c r="G49" s="17"/>
      <c r="H49" s="17">
        <v>-0.67741935483870996</v>
      </c>
      <c r="J49" s="9"/>
    </row>
    <row r="50" spans="1:10" ht="16.5" customHeight="1">
      <c r="A50" s="9"/>
      <c r="C50" s="15" t="s">
        <v>57</v>
      </c>
      <c r="D50" s="16">
        <v>13242.24</v>
      </c>
      <c r="E50" s="16"/>
      <c r="F50" s="16">
        <v>21590.7</v>
      </c>
      <c r="G50" s="17"/>
      <c r="H50" s="17">
        <v>-0.38666926037599503</v>
      </c>
      <c r="J50" s="9"/>
    </row>
    <row r="51" spans="1:10" ht="16.5" customHeight="1">
      <c r="A51" s="9"/>
      <c r="C51" s="15" t="s">
        <v>58</v>
      </c>
      <c r="D51" s="16">
        <v>11035.2</v>
      </c>
      <c r="E51" s="16"/>
      <c r="F51" s="16"/>
      <c r="G51" s="17"/>
      <c r="H51" s="17"/>
      <c r="J51" s="9"/>
    </row>
    <row r="52" spans="1:10" ht="16.5" customHeight="1">
      <c r="A52" s="9"/>
      <c r="C52" s="15" t="s">
        <v>59</v>
      </c>
      <c r="D52" s="16">
        <v>9660</v>
      </c>
      <c r="E52" s="16">
        <v>30660</v>
      </c>
      <c r="F52" s="16">
        <v>62219.4</v>
      </c>
      <c r="G52" s="17">
        <v>-0.68493150684931503</v>
      </c>
      <c r="H52" s="17">
        <v>-0.84474295798416599</v>
      </c>
      <c r="J52" s="9"/>
    </row>
    <row r="53" spans="1:10" ht="16.5" customHeight="1">
      <c r="A53" s="9"/>
      <c r="C53" s="15" t="s">
        <v>60</v>
      </c>
      <c r="D53" s="16">
        <v>8712</v>
      </c>
      <c r="E53" s="16">
        <v>14520</v>
      </c>
      <c r="F53" s="16">
        <v>20143.2</v>
      </c>
      <c r="G53" s="17">
        <v>-0.4</v>
      </c>
      <c r="H53" s="17">
        <v>-0.567496723460026</v>
      </c>
      <c r="J53" s="9"/>
    </row>
    <row r="54" spans="1:10" ht="16.5" customHeight="1">
      <c r="A54" s="9"/>
      <c r="C54" s="15" t="s">
        <v>61</v>
      </c>
      <c r="D54" s="16">
        <v>7350</v>
      </c>
      <c r="E54" s="16"/>
      <c r="F54" s="16"/>
      <c r="G54" s="17"/>
      <c r="H54" s="17"/>
      <c r="J54" s="9"/>
    </row>
    <row r="55" spans="1:10" ht="16.5" customHeight="1">
      <c r="A55" s="9"/>
      <c r="C55" s="15" t="s">
        <v>62</v>
      </c>
      <c r="D55" s="16">
        <v>6864</v>
      </c>
      <c r="E55" s="16">
        <v>9546</v>
      </c>
      <c r="F55" s="16">
        <v>48294.16</v>
      </c>
      <c r="G55" s="17">
        <v>-0.28095537397863002</v>
      </c>
      <c r="H55" s="17">
        <v>-0.85787101380373898</v>
      </c>
      <c r="J55" s="9"/>
    </row>
    <row r="56" spans="1:10" ht="16.5" customHeight="1">
      <c r="A56" s="9"/>
      <c r="C56" s="15" t="s">
        <v>63</v>
      </c>
      <c r="D56" s="16">
        <v>6754</v>
      </c>
      <c r="E56" s="16">
        <v>9741.6</v>
      </c>
      <c r="F56" s="16"/>
      <c r="G56" s="17">
        <v>-0.30668473351400199</v>
      </c>
      <c r="H56" s="17"/>
      <c r="J56" s="9"/>
    </row>
    <row r="57" spans="1:10" ht="16.5" customHeight="1">
      <c r="A57" s="9"/>
      <c r="C57" s="15" t="s">
        <v>64</v>
      </c>
      <c r="D57" s="16">
        <v>5860</v>
      </c>
      <c r="E57" s="16"/>
      <c r="F57" s="16"/>
      <c r="G57" s="17"/>
      <c r="H57" s="17"/>
      <c r="J57" s="9"/>
    </row>
    <row r="58" spans="1:10" ht="16.5" customHeight="1">
      <c r="A58" s="9"/>
      <c r="C58" s="15" t="s">
        <v>65</v>
      </c>
      <c r="D58" s="16">
        <v>5808</v>
      </c>
      <c r="E58" s="16"/>
      <c r="F58" s="16"/>
      <c r="G58" s="17"/>
      <c r="H58" s="17"/>
      <c r="J58" s="9"/>
    </row>
    <row r="59" spans="1:10" ht="16.5" customHeight="1">
      <c r="A59" s="9"/>
      <c r="C59" s="15" t="s">
        <v>66</v>
      </c>
      <c r="D59" s="16">
        <v>5760</v>
      </c>
      <c r="E59" s="16">
        <v>17544.36</v>
      </c>
      <c r="F59" s="16"/>
      <c r="G59" s="17">
        <v>-0.67168936341935503</v>
      </c>
      <c r="H59" s="17"/>
      <c r="J59" s="9"/>
    </row>
    <row r="60" spans="1:10" ht="16.5" customHeight="1">
      <c r="A60" s="9"/>
      <c r="C60" s="15" t="s">
        <v>67</v>
      </c>
      <c r="D60" s="16">
        <v>4815.3599999999997</v>
      </c>
      <c r="E60" s="16">
        <v>3534</v>
      </c>
      <c r="F60" s="16"/>
      <c r="G60" s="17">
        <v>0.36258064516129002</v>
      </c>
      <c r="H60" s="17"/>
      <c r="J60" s="9"/>
    </row>
    <row r="61" spans="1:10" ht="16.5" customHeight="1">
      <c r="A61" s="9"/>
      <c r="C61" s="15" t="s">
        <v>68</v>
      </c>
      <c r="D61" s="16">
        <v>2808</v>
      </c>
      <c r="E61" s="16">
        <v>14575</v>
      </c>
      <c r="F61" s="16">
        <v>18574</v>
      </c>
      <c r="G61" s="17">
        <v>-0.80734133790737606</v>
      </c>
      <c r="H61" s="17">
        <v>-0.848820932486271</v>
      </c>
      <c r="J61" s="9"/>
    </row>
    <row r="62" spans="1:10" ht="16.5" customHeight="1">
      <c r="A62" s="9"/>
      <c r="C62" s="15" t="s">
        <v>69</v>
      </c>
      <c r="D62" s="16">
        <v>2684.4</v>
      </c>
      <c r="E62" s="16"/>
      <c r="F62" s="16"/>
      <c r="G62" s="17"/>
      <c r="H62" s="17"/>
      <c r="J62" s="9"/>
    </row>
    <row r="63" spans="1:10" ht="16.5" customHeight="1">
      <c r="A63" s="9"/>
      <c r="C63" s="15" t="s">
        <v>70</v>
      </c>
      <c r="D63" s="16">
        <v>2407.6799999999998</v>
      </c>
      <c r="E63" s="16"/>
      <c r="F63" s="16">
        <v>2640</v>
      </c>
      <c r="G63" s="17"/>
      <c r="H63" s="17">
        <v>-8.8000000000000106E-2</v>
      </c>
      <c r="J63" s="9"/>
    </row>
    <row r="64" spans="1:10" ht="16.5" customHeight="1">
      <c r="A64" s="9"/>
      <c r="C64" s="15" t="s">
        <v>71</v>
      </c>
      <c r="D64" s="16">
        <v>2400</v>
      </c>
      <c r="E64" s="16">
        <v>16375</v>
      </c>
      <c r="F64" s="16">
        <v>5616</v>
      </c>
      <c r="G64" s="17">
        <v>-0.85343511450381704</v>
      </c>
      <c r="H64" s="17">
        <v>-0.57264957264957295</v>
      </c>
      <c r="J64" s="9"/>
    </row>
    <row r="65" spans="1:10" ht="16.5" customHeight="1">
      <c r="A65" s="9"/>
      <c r="C65" s="15" t="s">
        <v>72</v>
      </c>
      <c r="D65" s="16">
        <v>2347.1999999999998</v>
      </c>
      <c r="E65" s="16">
        <v>2652</v>
      </c>
      <c r="F65" s="16">
        <v>1720.8</v>
      </c>
      <c r="G65" s="17">
        <v>-0.114932126696833</v>
      </c>
      <c r="H65" s="17">
        <v>0.36401673640167398</v>
      </c>
      <c r="J65" s="9"/>
    </row>
    <row r="66" spans="1:10" ht="16.5" customHeight="1">
      <c r="A66" s="9"/>
      <c r="C66" s="15" t="s">
        <v>73</v>
      </c>
      <c r="D66" s="16">
        <v>2188.8000000000002</v>
      </c>
      <c r="E66" s="16">
        <v>5016</v>
      </c>
      <c r="F66" s="16">
        <v>15840</v>
      </c>
      <c r="G66" s="17">
        <v>-0.56363636363636405</v>
      </c>
      <c r="H66" s="17">
        <v>-0.86181818181818204</v>
      </c>
      <c r="J66" s="9"/>
    </row>
    <row r="67" spans="1:10" ht="16.5" customHeight="1">
      <c r="A67" s="9"/>
      <c r="C67" s="15" t="s">
        <v>74</v>
      </c>
      <c r="D67" s="16">
        <v>1790.4</v>
      </c>
      <c r="E67" s="16">
        <v>1440</v>
      </c>
      <c r="F67" s="16">
        <v>12880.8</v>
      </c>
      <c r="G67" s="17">
        <v>0.24333333333333301</v>
      </c>
      <c r="H67" s="17">
        <v>-0.86100242220980105</v>
      </c>
      <c r="J67" s="9"/>
    </row>
    <row r="68" spans="1:10" ht="16.5" customHeight="1">
      <c r="A68" s="9"/>
      <c r="C68" s="15" t="s">
        <v>75</v>
      </c>
      <c r="D68" s="16"/>
      <c r="E68" s="16"/>
      <c r="F68" s="16">
        <v>1584</v>
      </c>
      <c r="G68" s="17"/>
      <c r="H68" s="17">
        <v>-1</v>
      </c>
      <c r="J68" s="9"/>
    </row>
    <row r="69" spans="1:10" ht="16.5" customHeight="1">
      <c r="A69" s="9"/>
      <c r="C69" s="15" t="s">
        <v>76</v>
      </c>
      <c r="D69" s="16"/>
      <c r="E69" s="16">
        <v>287030.24</v>
      </c>
      <c r="F69" s="16">
        <v>289698.2</v>
      </c>
      <c r="G69" s="17">
        <v>-1</v>
      </c>
      <c r="H69" s="17">
        <v>-1</v>
      </c>
      <c r="J69" s="9"/>
    </row>
    <row r="70" spans="1:10" ht="16.5" customHeight="1">
      <c r="A70" s="9"/>
      <c r="C70" s="15" t="s">
        <v>77</v>
      </c>
      <c r="D70" s="16"/>
      <c r="E70" s="16">
        <v>2293.1999999999998</v>
      </c>
      <c r="F70" s="16"/>
      <c r="G70" s="17">
        <v>-1</v>
      </c>
      <c r="H70" s="17"/>
      <c r="J70" s="9"/>
    </row>
    <row r="71" spans="1:10" ht="16.5" customHeight="1">
      <c r="A71" s="9"/>
      <c r="C71" s="15" t="s">
        <v>78</v>
      </c>
      <c r="D71" s="16"/>
      <c r="E71" s="16"/>
      <c r="F71" s="16">
        <v>7401.6</v>
      </c>
      <c r="G71" s="17"/>
      <c r="H71" s="17">
        <v>-1</v>
      </c>
      <c r="J71" s="9"/>
    </row>
    <row r="72" spans="1:10" ht="16.5" customHeight="1">
      <c r="A72" s="9"/>
      <c r="C72" s="15" t="s">
        <v>79</v>
      </c>
      <c r="D72" s="16"/>
      <c r="E72" s="16"/>
      <c r="F72" s="16">
        <v>2073.6</v>
      </c>
      <c r="G72" s="17"/>
      <c r="H72" s="17">
        <v>-1</v>
      </c>
      <c r="J72" s="9"/>
    </row>
    <row r="73" spans="1:10" ht="16.5" customHeight="1">
      <c r="A73" s="9"/>
      <c r="C73" s="15" t="s">
        <v>80</v>
      </c>
      <c r="D73" s="16"/>
      <c r="E73" s="16"/>
      <c r="F73" s="16">
        <v>83500</v>
      </c>
      <c r="G73" s="17"/>
      <c r="H73" s="17">
        <v>-1</v>
      </c>
      <c r="J73" s="9"/>
    </row>
    <row r="74" spans="1:10" ht="16.5" customHeight="1">
      <c r="A74" s="9"/>
      <c r="C74" s="15" t="s">
        <v>81</v>
      </c>
      <c r="D74" s="16"/>
      <c r="E74" s="16"/>
      <c r="F74" s="16">
        <v>2715.6</v>
      </c>
      <c r="G74" s="17"/>
      <c r="H74" s="17">
        <v>-1</v>
      </c>
      <c r="J74" s="9"/>
    </row>
    <row r="75" spans="1:10" ht="16.5" customHeight="1">
      <c r="A75" s="9"/>
      <c r="C75" s="15" t="s">
        <v>82</v>
      </c>
      <c r="D75" s="16"/>
      <c r="E75" s="16"/>
      <c r="F75" s="16">
        <v>19731.599999999999</v>
      </c>
      <c r="G75" s="17"/>
      <c r="H75" s="17">
        <v>-1</v>
      </c>
      <c r="J75" s="9"/>
    </row>
    <row r="76" spans="1:10" ht="16.5" customHeight="1">
      <c r="A76" s="9"/>
      <c r="C76" s="15" t="s">
        <v>83</v>
      </c>
      <c r="D76" s="16"/>
      <c r="E76" s="16"/>
      <c r="F76" s="16">
        <v>7350</v>
      </c>
      <c r="G76" s="17"/>
      <c r="H76" s="17">
        <v>-1</v>
      </c>
      <c r="J76" s="9"/>
    </row>
    <row r="77" spans="1:10" ht="16.5" customHeight="1">
      <c r="A77" s="9"/>
      <c r="C77" s="15" t="s">
        <v>84</v>
      </c>
      <c r="D77" s="16"/>
      <c r="E77" s="16"/>
      <c r="F77" s="16">
        <v>23832</v>
      </c>
      <c r="G77" s="17"/>
      <c r="H77" s="17">
        <v>-1</v>
      </c>
      <c r="J77" s="9"/>
    </row>
    <row r="78" spans="1:10" ht="16.5" customHeight="1">
      <c r="A78" s="9"/>
      <c r="C78" s="15" t="s">
        <v>85</v>
      </c>
      <c r="D78" s="16"/>
      <c r="E78" s="16">
        <v>23659.200000000001</v>
      </c>
      <c r="F78" s="16"/>
      <c r="G78" s="17">
        <v>-1</v>
      </c>
      <c r="H78" s="17"/>
      <c r="J78" s="9"/>
    </row>
    <row r="79" spans="1:10" ht="16.5" customHeight="1">
      <c r="A79" s="9"/>
      <c r="C79" s="15" t="s">
        <v>86</v>
      </c>
      <c r="D79" s="16"/>
      <c r="E79" s="16">
        <v>2112</v>
      </c>
      <c r="F79" s="16">
        <v>2534.4</v>
      </c>
      <c r="G79" s="17">
        <v>-1</v>
      </c>
      <c r="H79" s="17">
        <v>-1</v>
      </c>
      <c r="J79" s="9"/>
    </row>
    <row r="80" spans="1:10" ht="16.5" customHeight="1">
      <c r="A80" s="9"/>
      <c r="C80" s="15" t="s">
        <v>87</v>
      </c>
      <c r="D80" s="16"/>
      <c r="E80" s="16">
        <v>3186</v>
      </c>
      <c r="F80" s="16">
        <v>3924</v>
      </c>
      <c r="G80" s="17">
        <v>-1</v>
      </c>
      <c r="H80" s="17">
        <v>-1</v>
      </c>
      <c r="J80" s="9"/>
    </row>
    <row r="81" spans="1:10" ht="16.5" customHeight="1">
      <c r="A81" s="9"/>
      <c r="C81" s="15" t="s">
        <v>88</v>
      </c>
      <c r="D81" s="16"/>
      <c r="E81" s="16"/>
      <c r="F81" s="16">
        <v>47520</v>
      </c>
      <c r="G81" s="17"/>
      <c r="H81" s="17">
        <v>-1</v>
      </c>
      <c r="J81" s="9"/>
    </row>
    <row r="82" spans="1:10" ht="16.5" customHeight="1">
      <c r="A82" s="9"/>
      <c r="C82" s="15" t="s">
        <v>89</v>
      </c>
      <c r="D82" s="16"/>
      <c r="E82" s="16">
        <v>12000</v>
      </c>
      <c r="F82" s="16"/>
      <c r="G82" s="17">
        <v>-1</v>
      </c>
      <c r="H82" s="17"/>
      <c r="J82" s="9"/>
    </row>
    <row r="83" spans="1:10" ht="16.5" customHeight="1">
      <c r="A83" s="9"/>
      <c r="C83" s="15" t="s">
        <v>90</v>
      </c>
      <c r="D83" s="16"/>
      <c r="E83" s="16"/>
      <c r="F83" s="16">
        <v>6969.6</v>
      </c>
      <c r="G83" s="17"/>
      <c r="H83" s="17">
        <v>-1</v>
      </c>
      <c r="J83" s="9"/>
    </row>
    <row r="84" spans="1:10" ht="16.5" customHeight="1">
      <c r="A84" s="9"/>
      <c r="C84" s="15" t="s">
        <v>91</v>
      </c>
      <c r="D84" s="16"/>
      <c r="E84" s="16">
        <v>11400</v>
      </c>
      <c r="F84" s="16">
        <v>11308.8</v>
      </c>
      <c r="G84" s="17">
        <v>-1</v>
      </c>
      <c r="H84" s="17">
        <v>-1</v>
      </c>
      <c r="J84" s="9"/>
    </row>
    <row r="85" spans="1:10" ht="16.5" customHeight="1">
      <c r="A85" s="9"/>
      <c r="C85" s="15" t="s">
        <v>92</v>
      </c>
      <c r="D85" s="16"/>
      <c r="E85" s="16">
        <v>2208.6</v>
      </c>
      <c r="F85" s="16"/>
      <c r="G85" s="17">
        <v>-1</v>
      </c>
      <c r="H85" s="17"/>
      <c r="J85" s="9"/>
    </row>
    <row r="86" spans="1:10" ht="16.5" customHeight="1">
      <c r="A86" s="9"/>
      <c r="C86" s="15" t="s">
        <v>93</v>
      </c>
      <c r="D86" s="16"/>
      <c r="E86" s="16">
        <v>6619.2</v>
      </c>
      <c r="F86" s="16"/>
      <c r="G86" s="17">
        <v>-1</v>
      </c>
      <c r="H86" s="17"/>
      <c r="J86" s="9"/>
    </row>
    <row r="87" spans="1:10" ht="16.5" customHeight="1">
      <c r="A87" s="9"/>
      <c r="C87" s="15" t="s">
        <v>94</v>
      </c>
      <c r="D87" s="16"/>
      <c r="E87" s="16"/>
      <c r="F87" s="16">
        <v>15220</v>
      </c>
      <c r="G87" s="17"/>
      <c r="H87" s="17">
        <v>-1</v>
      </c>
      <c r="J87" s="9"/>
    </row>
    <row r="88" spans="1:10" ht="16.5" customHeight="1">
      <c r="A88" s="9"/>
      <c r="C88" s="15" t="s">
        <v>95</v>
      </c>
      <c r="D88" s="16"/>
      <c r="E88" s="16">
        <v>33262.080000000002</v>
      </c>
      <c r="F88" s="16">
        <v>22380</v>
      </c>
      <c r="G88" s="17">
        <v>-1</v>
      </c>
      <c r="H88" s="17">
        <v>-1</v>
      </c>
      <c r="J88" s="9"/>
    </row>
    <row r="89" spans="1:10" ht="16.5" customHeight="1">
      <c r="A89" s="9"/>
      <c r="C89" s="15" t="s">
        <v>96</v>
      </c>
      <c r="D89" s="16"/>
      <c r="E89" s="16">
        <v>181663.2</v>
      </c>
      <c r="F89" s="16">
        <v>146506</v>
      </c>
      <c r="G89" s="17">
        <v>-1</v>
      </c>
      <c r="H89" s="17">
        <v>-1</v>
      </c>
      <c r="J89" s="9"/>
    </row>
    <row r="90" spans="1:10" ht="16.5" customHeight="1">
      <c r="A90" s="9"/>
      <c r="C90" s="15" t="s">
        <v>97</v>
      </c>
      <c r="D90" s="16"/>
      <c r="E90" s="16">
        <v>36885</v>
      </c>
      <c r="F90" s="16">
        <v>247058.7</v>
      </c>
      <c r="G90" s="17">
        <v>-1</v>
      </c>
      <c r="H90" s="17">
        <v>-1</v>
      </c>
      <c r="J90" s="9"/>
    </row>
    <row r="91" spans="1:10" ht="16.5" customHeight="1">
      <c r="A91" s="9"/>
      <c r="C91" s="15" t="s">
        <v>98</v>
      </c>
      <c r="D91" s="16"/>
      <c r="E91" s="16">
        <v>12600</v>
      </c>
      <c r="F91" s="16"/>
      <c r="G91" s="17">
        <v>-1</v>
      </c>
      <c r="H91" s="17"/>
      <c r="J91" s="9"/>
    </row>
    <row r="92" spans="1:10" ht="16.5" customHeight="1">
      <c r="A92" s="9"/>
      <c r="C92" s="15" t="s">
        <v>99</v>
      </c>
      <c r="D92" s="16"/>
      <c r="E92" s="16">
        <v>601</v>
      </c>
      <c r="F92" s="16">
        <v>450.66</v>
      </c>
      <c r="G92" s="17">
        <v>-1</v>
      </c>
      <c r="H92" s="17">
        <v>-1</v>
      </c>
      <c r="J92" s="9"/>
    </row>
    <row r="93" spans="1:10" ht="16.5" customHeight="1">
      <c r="A93" s="9"/>
      <c r="C93" s="2" t="s">
        <v>8</v>
      </c>
      <c r="D93" s="12">
        <f>SUBTOTAL(109,PaisPesoMensal['[CY']])</f>
        <v>6842037.0553000011</v>
      </c>
      <c r="E93" s="12">
        <f>SUBTOTAL(109,PaisPesoMensal['[LY']])</f>
        <v>7490670.5899999999</v>
      </c>
      <c r="F93" s="12">
        <f>SUBTOTAL(109,PaisPesoMensal['[2YA']])</f>
        <v>7393993.7800000003</v>
      </c>
      <c r="G93" s="8">
        <f>PaisPesoMensal[[#Totals],['[CY']]]/PaisPesoMensal[[#Totals],['[LY']]]-1</f>
        <v>-8.659218515975331E-2</v>
      </c>
      <c r="H93" s="8">
        <f>PaisPesoMensal[[#Totals],['[CY']]]/PaisPesoMensal[[#Totals],['[2YA']]]-1</f>
        <v>-7.464933581537303E-2</v>
      </c>
      <c r="J93" s="9"/>
    </row>
    <row r="94" spans="1:10" ht="16.5" customHeight="1">
      <c r="A94" s="9"/>
      <c r="C94" s="7" t="s">
        <v>9</v>
      </c>
      <c r="J94" s="9"/>
    </row>
    <row r="95" spans="1:10" ht="16.5" customHeight="1">
      <c r="A95" s="9"/>
      <c r="J95" s="9"/>
    </row>
    <row r="96" spans="1:10" ht="16.5" customHeight="1">
      <c r="A96" s="9"/>
      <c r="C96" s="1" t="str" cm="1">
        <f t="array" ref="C96:H105">_xlfn._xlws.SORT(_xlfn._xlws.FILTER(PaisPesoMensal[],PaisPesoMensal['[CY']]&gt;=LARGE(PaisPesoMensal['[CY']],10)),2,1)</f>
        <v>Emirados Árabes Unidos</v>
      </c>
      <c r="D96" s="1">
        <v>207776.2</v>
      </c>
      <c r="E96" s="1">
        <v>74315.600000000006</v>
      </c>
      <c r="F96" s="1">
        <v>39453.4</v>
      </c>
      <c r="G96" s="1">
        <v>1.79586251069762</v>
      </c>
      <c r="H96" s="1">
        <v>4.2663699453025599</v>
      </c>
      <c r="J96" s="9"/>
    </row>
    <row r="97" spans="1:10" ht="16.5" customHeight="1">
      <c r="A97" s="9"/>
      <c r="C97" s="1" t="str">
        <v>Indonésia</v>
      </c>
      <c r="D97" s="1">
        <v>208080</v>
      </c>
      <c r="E97" s="1">
        <v>173400</v>
      </c>
      <c r="F97" s="1">
        <v>0</v>
      </c>
      <c r="G97" s="1">
        <v>0.2</v>
      </c>
      <c r="H97" s="1">
        <v>0</v>
      </c>
      <c r="J97" s="9"/>
    </row>
    <row r="98" spans="1:10" ht="16.5" customHeight="1">
      <c r="A98" s="9"/>
      <c r="C98" s="1" t="str">
        <v>Alemanha</v>
      </c>
      <c r="D98" s="1">
        <v>271419</v>
      </c>
      <c r="E98" s="1">
        <v>117600</v>
      </c>
      <c r="F98" s="1">
        <v>124220</v>
      </c>
      <c r="G98" s="1">
        <v>1.3079846938775499</v>
      </c>
      <c r="H98" s="1">
        <v>1.1849863146031201</v>
      </c>
      <c r="J98" s="9"/>
    </row>
    <row r="99" spans="1:10" ht="16.5" customHeight="1">
      <c r="A99" s="9"/>
      <c r="C99" s="1" t="str">
        <v>Rússia</v>
      </c>
      <c r="D99" s="1">
        <v>273448.40000000002</v>
      </c>
      <c r="E99" s="1">
        <v>131000</v>
      </c>
      <c r="F99" s="1">
        <v>742028.2</v>
      </c>
      <c r="G99" s="1">
        <v>1.08739236641221</v>
      </c>
      <c r="H99" s="1">
        <v>-0.63148516457999804</v>
      </c>
      <c r="J99" s="9"/>
    </row>
    <row r="100" spans="1:10" ht="16.5" customHeight="1">
      <c r="A100" s="9"/>
      <c r="C100" s="1" t="str">
        <v>Países Baixos (Holanda)</v>
      </c>
      <c r="D100" s="1">
        <v>288850.40000000002</v>
      </c>
      <c r="E100" s="1">
        <v>131001.60000000001</v>
      </c>
      <c r="F100" s="1">
        <v>203040</v>
      </c>
      <c r="G100" s="1">
        <v>1.20493795495628</v>
      </c>
      <c r="H100" s="1">
        <v>0.42262805358549999</v>
      </c>
      <c r="J100" s="9"/>
    </row>
    <row r="101" spans="1:10" ht="16.5" customHeight="1">
      <c r="A101" s="9"/>
      <c r="C101" s="1" t="str">
        <v>Chile</v>
      </c>
      <c r="D101" s="1">
        <v>316689.03999999998</v>
      </c>
      <c r="E101" s="1">
        <v>36042.239999999998</v>
      </c>
      <c r="F101" s="1">
        <v>200886.2</v>
      </c>
      <c r="G101" s="1">
        <v>7.7866081575396002</v>
      </c>
      <c r="H101" s="1">
        <v>0.57645990615582399</v>
      </c>
      <c r="J101" s="9"/>
    </row>
    <row r="102" spans="1:10" ht="16.5" customHeight="1">
      <c r="A102" s="9"/>
      <c r="C102" s="1" t="str">
        <v>Peru</v>
      </c>
      <c r="D102" s="1">
        <v>326724.96000000002</v>
      </c>
      <c r="E102" s="1">
        <v>130362.72</v>
      </c>
      <c r="F102" s="1">
        <v>172898.64</v>
      </c>
      <c r="G102" s="1">
        <v>1.5062760273796101</v>
      </c>
      <c r="H102" s="1">
        <v>0.88969074597694897</v>
      </c>
      <c r="J102" s="9"/>
    </row>
    <row r="103" spans="1:10" ht="16.5" customHeight="1">
      <c r="A103" s="9"/>
      <c r="C103" s="1" t="str">
        <v>Japão</v>
      </c>
      <c r="D103" s="1">
        <v>457160</v>
      </c>
      <c r="E103" s="1">
        <v>323316</v>
      </c>
      <c r="F103" s="1">
        <v>414109.6</v>
      </c>
      <c r="G103" s="1">
        <v>0.41397270781526402</v>
      </c>
      <c r="H103" s="1">
        <v>0.103958951929634</v>
      </c>
      <c r="J103" s="9"/>
    </row>
    <row r="104" spans="1:10" ht="16.5" customHeight="1">
      <c r="A104" s="9"/>
      <c r="C104" s="1" t="str">
        <v>Polônia</v>
      </c>
      <c r="D104" s="1">
        <v>485825</v>
      </c>
      <c r="E104" s="1">
        <v>276049</v>
      </c>
      <c r="F104" s="1">
        <v>268590</v>
      </c>
      <c r="G104" s="1">
        <v>0.75992305713840702</v>
      </c>
      <c r="H104" s="1">
        <v>0.808797795897092</v>
      </c>
      <c r="J104" s="9"/>
    </row>
    <row r="105" spans="1:10" ht="16.5" customHeight="1">
      <c r="A105" s="9"/>
      <c r="C105" s="1" t="str">
        <v>Estados Unidos</v>
      </c>
      <c r="D105" s="1">
        <v>1370398.4639999999</v>
      </c>
      <c r="E105" s="1">
        <v>2131705.2799999998</v>
      </c>
      <c r="F105" s="1">
        <v>1515351.26</v>
      </c>
      <c r="G105" s="1">
        <v>-0.35713511766504602</v>
      </c>
      <c r="H105" s="1">
        <v>-9.5656234845510196E-2</v>
      </c>
      <c r="J105" s="9"/>
    </row>
    <row r="106" spans="1:10" ht="16.5" customHeight="1">
      <c r="A106" s="9"/>
      <c r="J106" s="9"/>
    </row>
    <row r="107" spans="1:10" ht="16.5" customHeight="1">
      <c r="A107" s="9"/>
      <c r="J107" s="9"/>
    </row>
    <row r="108" spans="1:10" ht="16.5" customHeight="1">
      <c r="A108" s="9"/>
      <c r="J108" s="9"/>
    </row>
    <row r="109" spans="1:10" ht="16.5" customHeight="1">
      <c r="A109" s="9"/>
      <c r="J109" s="9"/>
    </row>
    <row r="110" spans="1:10" ht="16.5" customHeight="1">
      <c r="A110" s="9"/>
      <c r="J110" s="9"/>
    </row>
    <row r="111" spans="1:10" ht="16.5" customHeight="1">
      <c r="A111" s="9"/>
      <c r="C111" s="6" t="s">
        <v>10</v>
      </c>
      <c r="J111" s="9"/>
    </row>
    <row r="112" spans="1:10" ht="16.5" customHeight="1">
      <c r="A112" s="9"/>
      <c r="C112" s="3" t="s">
        <v>13</v>
      </c>
      <c r="D112" s="4" t="str" cm="1">
        <f t="array" ref="D112:H112">D6:H6</f>
        <v>jan/2024</v>
      </c>
      <c r="E112" s="4" t="str">
        <v>jan/2023</v>
      </c>
      <c r="F112" s="4" t="str">
        <v>jan/2022</v>
      </c>
      <c r="G112" s="4" t="str">
        <v>2024x2023</v>
      </c>
      <c r="H112" s="4" t="str">
        <v>2024x2022</v>
      </c>
      <c r="J112" s="9"/>
    </row>
    <row r="113" spans="1:10" ht="16.5" customHeight="1">
      <c r="A113" s="9"/>
      <c r="C113" s="15" t="s">
        <v>14</v>
      </c>
      <c r="D113" s="16">
        <v>59389</v>
      </c>
      <c r="E113" s="16">
        <v>92343</v>
      </c>
      <c r="F113" s="16">
        <v>65651</v>
      </c>
      <c r="G113" s="17">
        <v>-0.35686516574077098</v>
      </c>
      <c r="H113" s="17">
        <v>-9.5383162480388695E-2</v>
      </c>
      <c r="J113" s="9"/>
    </row>
    <row r="114" spans="1:10" ht="16.5" customHeight="1">
      <c r="A114" s="9"/>
      <c r="C114" s="15" t="s">
        <v>15</v>
      </c>
      <c r="D114" s="16">
        <v>21058</v>
      </c>
      <c r="E114" s="16">
        <v>11952</v>
      </c>
      <c r="F114" s="16">
        <v>11645</v>
      </c>
      <c r="G114" s="17">
        <v>0.76188085676037498</v>
      </c>
      <c r="H114" s="17">
        <v>0.80832975525976802</v>
      </c>
      <c r="J114" s="9"/>
    </row>
    <row r="115" spans="1:10" ht="16.5" customHeight="1">
      <c r="A115" s="9"/>
      <c r="C115" s="15" t="s">
        <v>16</v>
      </c>
      <c r="D115" s="16">
        <v>19811</v>
      </c>
      <c r="E115" s="16">
        <v>14008</v>
      </c>
      <c r="F115" s="16">
        <v>17946</v>
      </c>
      <c r="G115" s="17">
        <v>0.41426327812678498</v>
      </c>
      <c r="H115" s="17">
        <v>0.103922879750362</v>
      </c>
      <c r="J115" s="9"/>
    </row>
    <row r="116" spans="1:10" ht="16.5" customHeight="1">
      <c r="A116" s="9"/>
      <c r="C116" s="15" t="s">
        <v>17</v>
      </c>
      <c r="D116" s="16">
        <v>14158</v>
      </c>
      <c r="E116" s="16">
        <v>5644</v>
      </c>
      <c r="F116" s="16">
        <v>7494</v>
      </c>
      <c r="G116" s="17">
        <v>1.5085046066619401</v>
      </c>
      <c r="H116" s="17">
        <v>0.889244729116627</v>
      </c>
      <c r="J116" s="9"/>
    </row>
    <row r="117" spans="1:10" ht="16.5" customHeight="1">
      <c r="A117" s="9"/>
      <c r="C117" s="15" t="s">
        <v>18</v>
      </c>
      <c r="D117" s="16">
        <v>13418</v>
      </c>
      <c r="E117" s="16">
        <v>1560</v>
      </c>
      <c r="F117" s="16">
        <v>8702</v>
      </c>
      <c r="G117" s="17">
        <v>7.60128205128205</v>
      </c>
      <c r="H117" s="17">
        <v>0.54194438060215999</v>
      </c>
      <c r="J117" s="9"/>
    </row>
    <row r="118" spans="1:10" ht="16.5" customHeight="1">
      <c r="A118" s="9"/>
      <c r="C118" s="15" t="s">
        <v>19</v>
      </c>
      <c r="D118" s="16">
        <v>12517</v>
      </c>
      <c r="E118" s="16">
        <v>5675</v>
      </c>
      <c r="F118" s="16">
        <v>8798</v>
      </c>
      <c r="G118" s="17">
        <v>1.20563876651982</v>
      </c>
      <c r="H118" s="17">
        <v>0.42270970675153402</v>
      </c>
      <c r="J118" s="9"/>
    </row>
    <row r="119" spans="1:10" ht="16.5" customHeight="1">
      <c r="A119" s="9"/>
      <c r="C119" s="15" t="s">
        <v>20</v>
      </c>
      <c r="D119" s="16">
        <v>11848</v>
      </c>
      <c r="E119" s="16">
        <v>5676</v>
      </c>
      <c r="F119" s="16">
        <v>32159</v>
      </c>
      <c r="G119" s="17">
        <v>1.0873854827343199</v>
      </c>
      <c r="H119" s="17">
        <v>-0.63158058397338201</v>
      </c>
      <c r="J119" s="9"/>
    </row>
    <row r="120" spans="1:10" ht="16.5" customHeight="1">
      <c r="A120" s="9"/>
      <c r="C120" s="15" t="s">
        <v>21</v>
      </c>
      <c r="D120" s="16">
        <v>11763</v>
      </c>
      <c r="E120" s="16">
        <v>5097</v>
      </c>
      <c r="F120" s="16">
        <v>5384</v>
      </c>
      <c r="G120" s="17">
        <v>1.3078281341965901</v>
      </c>
      <c r="H120" s="17">
        <v>1.1848068350668599</v>
      </c>
      <c r="J120" s="9"/>
    </row>
    <row r="121" spans="1:10" ht="16.5" customHeight="1">
      <c r="A121" s="9"/>
      <c r="C121" s="15" t="s">
        <v>22</v>
      </c>
      <c r="D121" s="16">
        <v>9017</v>
      </c>
      <c r="E121" s="16">
        <v>7514</v>
      </c>
      <c r="F121" s="16"/>
      <c r="G121" s="17">
        <v>0.20002661698163399</v>
      </c>
      <c r="H121" s="17"/>
      <c r="J121" s="9"/>
    </row>
    <row r="122" spans="1:10" ht="16.5" customHeight="1">
      <c r="A122" s="9"/>
      <c r="C122" s="15" t="s">
        <v>23</v>
      </c>
      <c r="D122" s="16">
        <v>9001</v>
      </c>
      <c r="E122" s="16">
        <v>3217</v>
      </c>
      <c r="F122" s="16">
        <v>1710</v>
      </c>
      <c r="G122" s="17">
        <v>1.7979483991296199</v>
      </c>
      <c r="H122" s="17">
        <v>4.2637426900584803</v>
      </c>
      <c r="J122" s="9"/>
    </row>
    <row r="123" spans="1:10" ht="16.5" customHeight="1">
      <c r="A123" s="9"/>
      <c r="C123" s="15" t="s">
        <v>24</v>
      </c>
      <c r="D123" s="16">
        <v>8864</v>
      </c>
      <c r="E123" s="16">
        <v>12793</v>
      </c>
      <c r="F123" s="16">
        <v>4673</v>
      </c>
      <c r="G123" s="17">
        <v>-0.307121081841632</v>
      </c>
      <c r="H123" s="17">
        <v>0.89685426920607703</v>
      </c>
      <c r="J123" s="9"/>
    </row>
    <row r="124" spans="1:10" ht="16.5" customHeight="1">
      <c r="A124" s="9"/>
      <c r="C124" s="15" t="s">
        <v>25</v>
      </c>
      <c r="D124" s="16">
        <v>8531</v>
      </c>
      <c r="E124" s="16">
        <v>13954</v>
      </c>
      <c r="F124" s="16">
        <v>10081</v>
      </c>
      <c r="G124" s="17">
        <v>-0.388634083416941</v>
      </c>
      <c r="H124" s="17">
        <v>-0.15375458783850801</v>
      </c>
      <c r="J124" s="9"/>
    </row>
    <row r="125" spans="1:10" ht="16.5" customHeight="1">
      <c r="A125" s="9"/>
      <c r="C125" s="15" t="s">
        <v>26</v>
      </c>
      <c r="D125" s="16">
        <v>8527</v>
      </c>
      <c r="E125" s="16">
        <v>3264</v>
      </c>
      <c r="F125" s="16">
        <v>5587</v>
      </c>
      <c r="G125" s="17">
        <v>1.6124387254902</v>
      </c>
      <c r="H125" s="17">
        <v>0.52622158582423495</v>
      </c>
      <c r="J125" s="9"/>
    </row>
    <row r="126" spans="1:10" ht="16.5" customHeight="1">
      <c r="A126" s="9"/>
      <c r="C126" s="15" t="s">
        <v>28</v>
      </c>
      <c r="D126" s="16">
        <v>7109</v>
      </c>
      <c r="E126" s="16">
        <v>9450</v>
      </c>
      <c r="F126" s="16">
        <v>1366</v>
      </c>
      <c r="G126" s="17">
        <v>-0.24772486772486799</v>
      </c>
      <c r="H126" s="17">
        <v>4.2042459736456799</v>
      </c>
      <c r="J126" s="9"/>
    </row>
    <row r="127" spans="1:10" ht="16.5" customHeight="1">
      <c r="A127" s="9"/>
      <c r="C127" s="15" t="s">
        <v>29</v>
      </c>
      <c r="D127" s="16">
        <v>6982</v>
      </c>
      <c r="E127" s="16">
        <v>29295</v>
      </c>
      <c r="F127" s="16">
        <v>1372</v>
      </c>
      <c r="G127" s="17">
        <v>-0.76166581327871696</v>
      </c>
      <c r="H127" s="17">
        <v>4.0889212827988297</v>
      </c>
      <c r="J127" s="9"/>
    </row>
    <row r="128" spans="1:10" ht="16.5" customHeight="1">
      <c r="A128" s="9"/>
      <c r="C128" s="15" t="s">
        <v>30</v>
      </c>
      <c r="D128" s="16">
        <v>6648</v>
      </c>
      <c r="E128" s="16">
        <v>1566</v>
      </c>
      <c r="F128" s="16">
        <v>3011</v>
      </c>
      <c r="G128" s="17">
        <v>3.2452107279693498</v>
      </c>
      <c r="H128" s="17">
        <v>1.2079043507140499</v>
      </c>
      <c r="J128" s="9"/>
    </row>
    <row r="129" spans="1:10" ht="16.5" customHeight="1">
      <c r="A129" s="9"/>
      <c r="C129" s="15" t="s">
        <v>27</v>
      </c>
      <c r="D129" s="16">
        <v>6212</v>
      </c>
      <c r="E129" s="16">
        <v>35639</v>
      </c>
      <c r="F129" s="16">
        <v>14251</v>
      </c>
      <c r="G129" s="17">
        <v>-0.82569656836611605</v>
      </c>
      <c r="H129" s="17">
        <v>-0.56410076485860605</v>
      </c>
      <c r="J129" s="9"/>
    </row>
    <row r="130" spans="1:10" ht="16.5" customHeight="1">
      <c r="A130" s="9"/>
      <c r="C130" s="15" t="s">
        <v>31</v>
      </c>
      <c r="D130" s="16">
        <v>5457</v>
      </c>
      <c r="E130" s="16">
        <v>938</v>
      </c>
      <c r="F130" s="16">
        <v>480</v>
      </c>
      <c r="G130" s="17">
        <v>4.8176972281449899</v>
      </c>
      <c r="H130" s="17">
        <v>10.36875</v>
      </c>
      <c r="J130" s="9"/>
    </row>
    <row r="131" spans="1:10" ht="16.5" customHeight="1">
      <c r="A131" s="9"/>
      <c r="C131" s="15" t="s">
        <v>32</v>
      </c>
      <c r="D131" s="16">
        <v>4254</v>
      </c>
      <c r="E131" s="16">
        <v>2941</v>
      </c>
      <c r="F131" s="16">
        <v>7526</v>
      </c>
      <c r="G131" s="17">
        <v>0.44644678680720801</v>
      </c>
      <c r="H131" s="17">
        <v>-0.43475950039861799</v>
      </c>
      <c r="J131" s="9"/>
    </row>
    <row r="132" spans="1:10" ht="16.5" customHeight="1">
      <c r="A132" s="9"/>
      <c r="C132" s="15" t="s">
        <v>33</v>
      </c>
      <c r="D132" s="16">
        <v>4145</v>
      </c>
      <c r="E132" s="16">
        <v>1562</v>
      </c>
      <c r="F132" s="16">
        <v>363</v>
      </c>
      <c r="G132" s="17">
        <v>1.65364916773367</v>
      </c>
      <c r="H132" s="17">
        <v>10.4187327823691</v>
      </c>
      <c r="J132" s="9"/>
    </row>
    <row r="133" spans="1:10" ht="16.5" customHeight="1">
      <c r="A133" s="9"/>
      <c r="C133" s="15" t="s">
        <v>34</v>
      </c>
      <c r="D133" s="16">
        <v>3953</v>
      </c>
      <c r="E133" s="16">
        <v>3352</v>
      </c>
      <c r="F133" s="16">
        <v>4716</v>
      </c>
      <c r="G133" s="17">
        <v>0.17929594272076399</v>
      </c>
      <c r="H133" s="17">
        <v>-0.161789652247668</v>
      </c>
      <c r="J133" s="9"/>
    </row>
    <row r="134" spans="1:10" ht="16.5" customHeight="1">
      <c r="A134" s="9"/>
      <c r="C134" s="15" t="s">
        <v>35</v>
      </c>
      <c r="D134" s="16">
        <v>3916</v>
      </c>
      <c r="E134" s="16"/>
      <c r="F134" s="16">
        <v>1334</v>
      </c>
      <c r="G134" s="17"/>
      <c r="H134" s="17">
        <v>1.9355322338830601</v>
      </c>
      <c r="J134" s="9"/>
    </row>
    <row r="135" spans="1:10" ht="16.5" customHeight="1">
      <c r="A135" s="9"/>
      <c r="C135" s="15" t="s">
        <v>36</v>
      </c>
      <c r="D135" s="16">
        <v>3631</v>
      </c>
      <c r="E135" s="16">
        <v>2224</v>
      </c>
      <c r="F135" s="16">
        <v>6132</v>
      </c>
      <c r="G135" s="17">
        <v>0.63264388489208601</v>
      </c>
      <c r="H135" s="17">
        <v>-0.407860404435747</v>
      </c>
      <c r="J135" s="9"/>
    </row>
    <row r="136" spans="1:10" ht="16.5" customHeight="1">
      <c r="A136" s="9"/>
      <c r="C136" s="15" t="s">
        <v>37</v>
      </c>
      <c r="D136" s="16">
        <v>3432</v>
      </c>
      <c r="E136" s="16">
        <v>939</v>
      </c>
      <c r="F136" s="16">
        <v>29140</v>
      </c>
      <c r="G136" s="17">
        <v>2.6549520766773198</v>
      </c>
      <c r="H136" s="17">
        <v>-0.88222374742621801</v>
      </c>
      <c r="J136" s="9"/>
    </row>
    <row r="137" spans="1:10" ht="16.5" customHeight="1">
      <c r="A137" s="9"/>
      <c r="C137" s="15" t="s">
        <v>38</v>
      </c>
      <c r="D137" s="16">
        <v>3153</v>
      </c>
      <c r="E137" s="16">
        <v>4672</v>
      </c>
      <c r="F137" s="16">
        <v>225</v>
      </c>
      <c r="G137" s="17">
        <v>-0.325128424657534</v>
      </c>
      <c r="H137" s="17">
        <v>13.0133333333333</v>
      </c>
      <c r="J137" s="9"/>
    </row>
    <row r="138" spans="1:10" ht="16.5" customHeight="1">
      <c r="A138" s="9"/>
      <c r="C138" s="15" t="s">
        <v>39</v>
      </c>
      <c r="D138" s="16">
        <v>2259</v>
      </c>
      <c r="E138" s="16">
        <v>1435</v>
      </c>
      <c r="F138" s="16"/>
      <c r="G138" s="17">
        <v>0.57421602787456405</v>
      </c>
      <c r="H138" s="17"/>
      <c r="J138" s="9"/>
    </row>
    <row r="139" spans="1:10" ht="16.5" customHeight="1">
      <c r="A139" s="9"/>
      <c r="C139" s="15" t="s">
        <v>40</v>
      </c>
      <c r="D139" s="16">
        <v>2122</v>
      </c>
      <c r="E139" s="16">
        <v>3494</v>
      </c>
      <c r="F139" s="16">
        <v>4969</v>
      </c>
      <c r="G139" s="17">
        <v>-0.39267315397824798</v>
      </c>
      <c r="H139" s="17">
        <v>-0.57295230428657695</v>
      </c>
      <c r="J139" s="9"/>
    </row>
    <row r="140" spans="1:10" ht="16.5" customHeight="1">
      <c r="A140" s="9"/>
      <c r="C140" s="15" t="s">
        <v>41</v>
      </c>
      <c r="D140" s="16">
        <v>1983</v>
      </c>
      <c r="E140" s="16">
        <v>1944</v>
      </c>
      <c r="F140" s="16">
        <v>1412</v>
      </c>
      <c r="G140" s="17">
        <v>2.00617283950617E-2</v>
      </c>
      <c r="H140" s="17">
        <v>0.40439093484419297</v>
      </c>
      <c r="J140" s="9"/>
    </row>
    <row r="141" spans="1:10" ht="16.5" customHeight="1">
      <c r="A141" s="9"/>
      <c r="C141" s="15" t="s">
        <v>42</v>
      </c>
      <c r="D141" s="16">
        <v>1872</v>
      </c>
      <c r="E141" s="16">
        <v>1248</v>
      </c>
      <c r="F141" s="16"/>
      <c r="G141" s="17">
        <v>0.5</v>
      </c>
      <c r="H141" s="17"/>
      <c r="J141" s="9"/>
    </row>
    <row r="142" spans="1:10" ht="16.5" customHeight="1">
      <c r="A142" s="9"/>
      <c r="C142" s="15" t="s">
        <v>43</v>
      </c>
      <c r="D142" s="16">
        <v>1692</v>
      </c>
      <c r="E142" s="16">
        <v>581</v>
      </c>
      <c r="F142" s="16">
        <v>532</v>
      </c>
      <c r="G142" s="17">
        <v>1.91222030981067</v>
      </c>
      <c r="H142" s="17">
        <v>2.1804511278195502</v>
      </c>
      <c r="J142" s="9"/>
    </row>
    <row r="143" spans="1:10" ht="16.5" customHeight="1">
      <c r="A143" s="9"/>
      <c r="C143" s="15" t="s">
        <v>45</v>
      </c>
      <c r="D143" s="16">
        <v>1409</v>
      </c>
      <c r="E143" s="16">
        <v>1340</v>
      </c>
      <c r="F143" s="16">
        <v>836</v>
      </c>
      <c r="G143" s="17">
        <v>5.1492537313432701E-2</v>
      </c>
      <c r="H143" s="17">
        <v>0.68540669856459302</v>
      </c>
      <c r="J143" s="9"/>
    </row>
    <row r="144" spans="1:10" ht="16.5" customHeight="1">
      <c r="A144" s="9"/>
      <c r="C144" s="15" t="s">
        <v>46</v>
      </c>
      <c r="D144" s="16">
        <v>1344</v>
      </c>
      <c r="E144" s="16">
        <v>832</v>
      </c>
      <c r="F144" s="16">
        <v>638</v>
      </c>
      <c r="G144" s="17">
        <v>0.61538461538461497</v>
      </c>
      <c r="H144" s="17">
        <v>1.10658307210031</v>
      </c>
      <c r="J144" s="9"/>
    </row>
    <row r="145" spans="1:10" ht="16.5" customHeight="1">
      <c r="A145" s="9"/>
      <c r="C145" s="15" t="s">
        <v>44</v>
      </c>
      <c r="D145" s="16">
        <v>1304</v>
      </c>
      <c r="E145" s="16">
        <v>1249</v>
      </c>
      <c r="F145" s="16">
        <v>1060</v>
      </c>
      <c r="G145" s="17">
        <v>4.4035228182546002E-2</v>
      </c>
      <c r="H145" s="17">
        <v>0.230188679245283</v>
      </c>
      <c r="J145" s="9"/>
    </row>
    <row r="146" spans="1:10" ht="16.5" customHeight="1">
      <c r="A146" s="9"/>
      <c r="C146" s="15" t="s">
        <v>47</v>
      </c>
      <c r="D146" s="16">
        <v>1262</v>
      </c>
      <c r="E146" s="16">
        <v>429</v>
      </c>
      <c r="F146" s="16">
        <v>309</v>
      </c>
      <c r="G146" s="17">
        <v>1.94172494172494</v>
      </c>
      <c r="H146" s="17">
        <v>3.0841423948220101</v>
      </c>
      <c r="J146" s="9"/>
    </row>
    <row r="147" spans="1:10" ht="16.5" customHeight="1">
      <c r="A147" s="9"/>
      <c r="C147" s="15" t="s">
        <v>48</v>
      </c>
      <c r="D147" s="16">
        <v>1026</v>
      </c>
      <c r="E147" s="16">
        <v>891</v>
      </c>
      <c r="F147" s="16">
        <v>504</v>
      </c>
      <c r="G147" s="17">
        <v>0.15151515151515199</v>
      </c>
      <c r="H147" s="17">
        <v>1.03571428571429</v>
      </c>
      <c r="J147" s="9"/>
    </row>
    <row r="148" spans="1:10" ht="16.5" customHeight="1">
      <c r="A148" s="9"/>
      <c r="C148" s="15" t="s">
        <v>49</v>
      </c>
      <c r="D148" s="16">
        <v>958</v>
      </c>
      <c r="E148" s="16">
        <v>1648</v>
      </c>
      <c r="F148" s="16">
        <v>2001</v>
      </c>
      <c r="G148" s="17">
        <v>-0.418689320388349</v>
      </c>
      <c r="H148" s="17">
        <v>-0.52123938030984496</v>
      </c>
      <c r="J148" s="9"/>
    </row>
    <row r="149" spans="1:10" ht="16.5" customHeight="1">
      <c r="A149" s="9"/>
      <c r="C149" s="15" t="s">
        <v>50</v>
      </c>
      <c r="D149" s="16">
        <v>910</v>
      </c>
      <c r="E149" s="16">
        <v>260</v>
      </c>
      <c r="F149" s="16">
        <v>4641</v>
      </c>
      <c r="G149" s="17">
        <v>2.5</v>
      </c>
      <c r="H149" s="17">
        <v>-0.80392156862745101</v>
      </c>
      <c r="J149" s="9"/>
    </row>
    <row r="150" spans="1:10" ht="16.5" customHeight="1">
      <c r="A150" s="9"/>
      <c r="C150" s="15" t="s">
        <v>51</v>
      </c>
      <c r="D150" s="16">
        <v>896</v>
      </c>
      <c r="E150" s="16">
        <v>157</v>
      </c>
      <c r="F150" s="16">
        <v>364</v>
      </c>
      <c r="G150" s="17">
        <v>4.7070063694267503</v>
      </c>
      <c r="H150" s="17">
        <v>1.4615384615384599</v>
      </c>
      <c r="J150" s="9"/>
    </row>
    <row r="151" spans="1:10" ht="16.5" customHeight="1">
      <c r="A151" s="9"/>
      <c r="C151" s="15" t="s">
        <v>53</v>
      </c>
      <c r="D151" s="16">
        <v>790</v>
      </c>
      <c r="E151" s="16"/>
      <c r="F151" s="16"/>
      <c r="G151" s="17"/>
      <c r="H151" s="17"/>
      <c r="J151" s="9"/>
    </row>
    <row r="152" spans="1:10" ht="16.5" customHeight="1">
      <c r="A152" s="9"/>
      <c r="C152" s="15" t="s">
        <v>54</v>
      </c>
      <c r="D152" s="16">
        <v>749</v>
      </c>
      <c r="E152" s="16">
        <v>749</v>
      </c>
      <c r="F152" s="16"/>
      <c r="G152" s="17">
        <v>0</v>
      </c>
      <c r="H152" s="17"/>
      <c r="J152" s="9"/>
    </row>
    <row r="153" spans="1:10" ht="16.5" customHeight="1">
      <c r="A153" s="9"/>
      <c r="C153" s="15" t="s">
        <v>55</v>
      </c>
      <c r="D153" s="16">
        <v>749</v>
      </c>
      <c r="E153" s="16"/>
      <c r="F153" s="16">
        <v>749</v>
      </c>
      <c r="G153" s="17"/>
      <c r="H153" s="17">
        <v>0</v>
      </c>
      <c r="J153" s="9"/>
    </row>
    <row r="154" spans="1:10" ht="16.5" customHeight="1">
      <c r="A154" s="9"/>
      <c r="C154" s="15" t="s">
        <v>56</v>
      </c>
      <c r="D154" s="16">
        <v>624</v>
      </c>
      <c r="E154" s="16"/>
      <c r="F154" s="16">
        <v>1934</v>
      </c>
      <c r="G154" s="17"/>
      <c r="H154" s="17">
        <v>-0.677352637021717</v>
      </c>
      <c r="J154" s="9"/>
    </row>
    <row r="155" spans="1:10" ht="16.5" customHeight="1">
      <c r="A155" s="9"/>
      <c r="C155" s="15" t="s">
        <v>57</v>
      </c>
      <c r="D155" s="16">
        <v>574</v>
      </c>
      <c r="E155" s="16"/>
      <c r="F155" s="16">
        <v>936</v>
      </c>
      <c r="G155" s="17"/>
      <c r="H155" s="17">
        <v>-0.38675213675213699</v>
      </c>
      <c r="J155" s="9"/>
    </row>
    <row r="156" spans="1:10" ht="16.5" customHeight="1">
      <c r="A156" s="9"/>
      <c r="C156" s="15" t="s">
        <v>58</v>
      </c>
      <c r="D156" s="16">
        <v>478</v>
      </c>
      <c r="E156" s="16"/>
      <c r="F156" s="16"/>
      <c r="G156" s="17"/>
      <c r="H156" s="17"/>
      <c r="J156" s="9"/>
    </row>
    <row r="157" spans="1:10" ht="16.5" customHeight="1">
      <c r="A157" s="9"/>
      <c r="C157" s="15" t="s">
        <v>59</v>
      </c>
      <c r="D157" s="16">
        <v>419</v>
      </c>
      <c r="E157" s="16">
        <v>1327</v>
      </c>
      <c r="F157" s="16">
        <v>2697</v>
      </c>
      <c r="G157" s="17">
        <v>-0.68425018839487595</v>
      </c>
      <c r="H157" s="17">
        <v>-0.84464219503151605</v>
      </c>
      <c r="J157" s="9"/>
    </row>
    <row r="158" spans="1:10" ht="16.5" customHeight="1">
      <c r="A158" s="9"/>
      <c r="C158" s="15" t="s">
        <v>60</v>
      </c>
      <c r="D158" s="16">
        <v>378</v>
      </c>
      <c r="E158" s="16">
        <v>626</v>
      </c>
      <c r="F158" s="16">
        <v>874</v>
      </c>
      <c r="G158" s="17">
        <v>-0.396166134185303</v>
      </c>
      <c r="H158" s="17">
        <v>-0.56750572082379902</v>
      </c>
      <c r="J158" s="9"/>
    </row>
    <row r="159" spans="1:10" ht="16.5" customHeight="1">
      <c r="A159" s="9"/>
      <c r="C159" s="15" t="s">
        <v>61</v>
      </c>
      <c r="D159" s="16">
        <v>318</v>
      </c>
      <c r="E159" s="16"/>
      <c r="F159" s="16"/>
      <c r="G159" s="17"/>
      <c r="H159" s="17"/>
      <c r="J159" s="9"/>
    </row>
    <row r="160" spans="1:10" ht="16.5" customHeight="1">
      <c r="A160" s="9"/>
      <c r="C160" s="15" t="s">
        <v>62</v>
      </c>
      <c r="D160" s="16">
        <v>298</v>
      </c>
      <c r="E160" s="16">
        <v>412</v>
      </c>
      <c r="F160" s="16">
        <v>2094</v>
      </c>
      <c r="G160" s="17">
        <v>-0.27669902912621402</v>
      </c>
      <c r="H160" s="17">
        <v>-0.85768863419293195</v>
      </c>
      <c r="J160" s="9"/>
    </row>
    <row r="161" spans="1:10" ht="16.5" customHeight="1">
      <c r="A161" s="9"/>
      <c r="C161" s="15" t="s">
        <v>63</v>
      </c>
      <c r="D161" s="16">
        <v>293</v>
      </c>
      <c r="E161" s="16">
        <v>421</v>
      </c>
      <c r="F161" s="16"/>
      <c r="G161" s="17">
        <v>-0.304038004750594</v>
      </c>
      <c r="H161" s="17"/>
      <c r="J161" s="9"/>
    </row>
    <row r="162" spans="1:10" ht="16.5" customHeight="1">
      <c r="A162" s="9"/>
      <c r="C162" s="15" t="s">
        <v>52</v>
      </c>
      <c r="D162" s="16">
        <v>280</v>
      </c>
      <c r="E162" s="16">
        <v>836</v>
      </c>
      <c r="F162" s="16">
        <v>838</v>
      </c>
      <c r="G162" s="17">
        <v>-0.66507177033492804</v>
      </c>
      <c r="H162" s="17">
        <v>-0.66587112171837703</v>
      </c>
      <c r="J162" s="9"/>
    </row>
    <row r="163" spans="1:10" ht="16.5" customHeight="1">
      <c r="A163" s="9"/>
      <c r="C163" s="15" t="s">
        <v>64</v>
      </c>
      <c r="D163" s="16">
        <v>254</v>
      </c>
      <c r="E163" s="16"/>
      <c r="F163" s="16"/>
      <c r="G163" s="17"/>
      <c r="H163" s="17"/>
      <c r="J163" s="9"/>
    </row>
    <row r="164" spans="1:10" ht="16.5" customHeight="1">
      <c r="A164" s="9"/>
      <c r="C164" s="15" t="s">
        <v>65</v>
      </c>
      <c r="D164" s="16">
        <v>252</v>
      </c>
      <c r="E164" s="16"/>
      <c r="F164" s="16"/>
      <c r="G164" s="17"/>
      <c r="H164" s="17"/>
      <c r="J164" s="9"/>
    </row>
    <row r="165" spans="1:10" ht="16.5" customHeight="1">
      <c r="A165" s="9"/>
      <c r="C165" s="15" t="s">
        <v>66</v>
      </c>
      <c r="D165" s="16">
        <v>250</v>
      </c>
      <c r="E165" s="16">
        <v>760</v>
      </c>
      <c r="F165" s="16"/>
      <c r="G165" s="17">
        <v>-0.67105263157894701</v>
      </c>
      <c r="H165" s="17"/>
      <c r="J165" s="9"/>
    </row>
    <row r="166" spans="1:10" ht="16.5" customHeight="1">
      <c r="A166" s="9"/>
      <c r="C166" s="15" t="s">
        <v>67</v>
      </c>
      <c r="D166" s="16">
        <v>209</v>
      </c>
      <c r="E166" s="16">
        <v>153</v>
      </c>
      <c r="F166" s="16"/>
      <c r="G166" s="17">
        <v>0.36601307189542498</v>
      </c>
      <c r="H166" s="17"/>
      <c r="J166" s="9"/>
    </row>
    <row r="167" spans="1:10" ht="16.5" customHeight="1">
      <c r="A167" s="9"/>
      <c r="C167" s="15" t="s">
        <v>68</v>
      </c>
      <c r="D167" s="16">
        <v>122</v>
      </c>
      <c r="E167" s="16">
        <v>631</v>
      </c>
      <c r="F167" s="16">
        <v>806</v>
      </c>
      <c r="G167" s="17">
        <v>-0.80665610142630695</v>
      </c>
      <c r="H167" s="17">
        <v>-0.84863523573201005</v>
      </c>
      <c r="J167" s="9"/>
    </row>
    <row r="168" spans="1:10" ht="16.5" customHeight="1">
      <c r="A168" s="9"/>
      <c r="C168" s="15" t="s">
        <v>69</v>
      </c>
      <c r="D168" s="16">
        <v>116</v>
      </c>
      <c r="E168" s="16"/>
      <c r="F168" s="16"/>
      <c r="G168" s="17"/>
      <c r="H168" s="17"/>
      <c r="J168" s="9"/>
    </row>
    <row r="169" spans="1:10" ht="16.5" customHeight="1">
      <c r="A169" s="9"/>
      <c r="C169" s="15" t="s">
        <v>70</v>
      </c>
      <c r="D169" s="16">
        <v>104</v>
      </c>
      <c r="E169" s="16"/>
      <c r="F169" s="16">
        <v>114</v>
      </c>
      <c r="G169" s="17"/>
      <c r="H169" s="17">
        <v>-8.77192982456141E-2</v>
      </c>
      <c r="J169" s="9"/>
    </row>
    <row r="170" spans="1:10" ht="16.5" customHeight="1">
      <c r="A170" s="9"/>
      <c r="C170" s="15" t="s">
        <v>71</v>
      </c>
      <c r="D170" s="16">
        <v>104</v>
      </c>
      <c r="E170" s="16">
        <v>709</v>
      </c>
      <c r="F170" s="16">
        <v>243</v>
      </c>
      <c r="G170" s="17">
        <v>-0.85331452750352599</v>
      </c>
      <c r="H170" s="17">
        <v>-0.57201646090534997</v>
      </c>
      <c r="J170" s="9"/>
    </row>
    <row r="171" spans="1:10" ht="16.5" customHeight="1">
      <c r="A171" s="9"/>
      <c r="C171" s="15" t="s">
        <v>72</v>
      </c>
      <c r="D171" s="16">
        <v>102</v>
      </c>
      <c r="E171" s="16">
        <v>112</v>
      </c>
      <c r="F171" s="16">
        <v>75</v>
      </c>
      <c r="G171" s="17">
        <v>-8.9285714285714302E-2</v>
      </c>
      <c r="H171" s="17">
        <v>0.36</v>
      </c>
      <c r="J171" s="9"/>
    </row>
    <row r="172" spans="1:10" ht="16.5" customHeight="1">
      <c r="A172" s="9"/>
      <c r="C172" s="15" t="s">
        <v>73</v>
      </c>
      <c r="D172" s="16">
        <v>95</v>
      </c>
      <c r="E172" s="16">
        <v>217</v>
      </c>
      <c r="F172" s="16">
        <v>686</v>
      </c>
      <c r="G172" s="17">
        <v>-0.56221198156681995</v>
      </c>
      <c r="H172" s="17">
        <v>-0.86151603498542295</v>
      </c>
      <c r="J172" s="9"/>
    </row>
    <row r="173" spans="1:10" ht="16.5" customHeight="1">
      <c r="A173" s="9"/>
      <c r="C173" s="15" t="s">
        <v>74</v>
      </c>
      <c r="D173" s="16">
        <v>78</v>
      </c>
      <c r="E173" s="16">
        <v>62</v>
      </c>
      <c r="F173" s="16">
        <v>558</v>
      </c>
      <c r="G173" s="17">
        <v>0.25806451612903197</v>
      </c>
      <c r="H173" s="17">
        <v>-0.86021505376344098</v>
      </c>
      <c r="J173" s="9"/>
    </row>
    <row r="174" spans="1:10" ht="16.5" customHeight="1">
      <c r="A174" s="9"/>
      <c r="C174" s="15" t="s">
        <v>75</v>
      </c>
      <c r="D174" s="16"/>
      <c r="E174" s="16"/>
      <c r="F174" s="16">
        <v>69</v>
      </c>
      <c r="G174" s="17"/>
      <c r="H174" s="17">
        <v>-1</v>
      </c>
      <c r="J174" s="9"/>
    </row>
    <row r="175" spans="1:10" ht="16.5" customHeight="1">
      <c r="A175" s="9"/>
      <c r="C175" s="15" t="s">
        <v>76</v>
      </c>
      <c r="D175" s="16"/>
      <c r="E175" s="16">
        <v>12431</v>
      </c>
      <c r="F175" s="16">
        <v>12554</v>
      </c>
      <c r="G175" s="17">
        <v>-1</v>
      </c>
      <c r="H175" s="17">
        <v>-1</v>
      </c>
      <c r="J175" s="9"/>
    </row>
    <row r="176" spans="1:10" ht="16.5" customHeight="1">
      <c r="A176" s="9"/>
      <c r="C176" s="15" t="s">
        <v>77</v>
      </c>
      <c r="D176" s="16"/>
      <c r="E176" s="16">
        <v>99</v>
      </c>
      <c r="F176" s="16"/>
      <c r="G176" s="17">
        <v>-1</v>
      </c>
      <c r="H176" s="17"/>
      <c r="J176" s="9"/>
    </row>
    <row r="177" spans="1:10" ht="16.5" customHeight="1">
      <c r="A177" s="9"/>
      <c r="C177" s="15" t="s">
        <v>78</v>
      </c>
      <c r="D177" s="16"/>
      <c r="E177" s="16"/>
      <c r="F177" s="16">
        <v>321</v>
      </c>
      <c r="G177" s="17"/>
      <c r="H177" s="17">
        <v>-1</v>
      </c>
      <c r="J177" s="9"/>
    </row>
    <row r="178" spans="1:10" ht="16.5" customHeight="1">
      <c r="A178" s="9"/>
      <c r="C178" s="15" t="s">
        <v>79</v>
      </c>
      <c r="D178" s="16"/>
      <c r="E178" s="16"/>
      <c r="F178" s="16">
        <v>90</v>
      </c>
      <c r="G178" s="17"/>
      <c r="H178" s="17">
        <v>-1</v>
      </c>
      <c r="J178" s="9"/>
    </row>
    <row r="179" spans="1:10" ht="16.5" customHeight="1">
      <c r="A179" s="9"/>
      <c r="C179" s="15" t="s">
        <v>80</v>
      </c>
      <c r="D179" s="16"/>
      <c r="E179" s="16"/>
      <c r="F179" s="16">
        <v>3620</v>
      </c>
      <c r="G179" s="17"/>
      <c r="H179" s="17">
        <v>-1</v>
      </c>
      <c r="J179" s="9"/>
    </row>
    <row r="180" spans="1:10" ht="16.5" customHeight="1">
      <c r="A180" s="9"/>
      <c r="C180" s="15" t="s">
        <v>81</v>
      </c>
      <c r="D180" s="16"/>
      <c r="E180" s="16"/>
      <c r="F180" s="16">
        <v>118</v>
      </c>
      <c r="G180" s="17"/>
      <c r="H180" s="17">
        <v>-1</v>
      </c>
      <c r="J180" s="9"/>
    </row>
    <row r="181" spans="1:10" ht="16.5" customHeight="1">
      <c r="A181" s="9"/>
      <c r="C181" s="15" t="s">
        <v>82</v>
      </c>
      <c r="D181" s="16"/>
      <c r="E181" s="16"/>
      <c r="F181" s="16">
        <v>855</v>
      </c>
      <c r="G181" s="17"/>
      <c r="H181" s="17">
        <v>-1</v>
      </c>
      <c r="J181" s="9"/>
    </row>
    <row r="182" spans="1:10" ht="16.5" customHeight="1">
      <c r="A182" s="9"/>
      <c r="C182" s="15" t="s">
        <v>83</v>
      </c>
      <c r="D182" s="16"/>
      <c r="E182" s="16"/>
      <c r="F182" s="16">
        <v>319</v>
      </c>
      <c r="G182" s="17"/>
      <c r="H182" s="17">
        <v>-1</v>
      </c>
      <c r="J182" s="9"/>
    </row>
    <row r="183" spans="1:10" ht="16.5" customHeight="1">
      <c r="A183" s="9"/>
      <c r="C183" s="15" t="s">
        <v>84</v>
      </c>
      <c r="D183" s="16"/>
      <c r="E183" s="16"/>
      <c r="F183" s="16">
        <v>1032</v>
      </c>
      <c r="G183" s="17"/>
      <c r="H183" s="17">
        <v>-1</v>
      </c>
      <c r="J183" s="9"/>
    </row>
    <row r="184" spans="1:10" ht="16.5" customHeight="1">
      <c r="A184" s="9"/>
      <c r="C184" s="15" t="s">
        <v>85</v>
      </c>
      <c r="D184" s="16"/>
      <c r="E184" s="16">
        <v>1024</v>
      </c>
      <c r="F184" s="16"/>
      <c r="G184" s="17">
        <v>-1</v>
      </c>
      <c r="H184" s="17"/>
      <c r="J184" s="9"/>
    </row>
    <row r="185" spans="1:10" ht="16.5" customHeight="1">
      <c r="A185" s="9"/>
      <c r="C185" s="15" t="s">
        <v>86</v>
      </c>
      <c r="D185" s="16"/>
      <c r="E185" s="16">
        <v>90</v>
      </c>
      <c r="F185" s="16">
        <v>110</v>
      </c>
      <c r="G185" s="17">
        <v>-1</v>
      </c>
      <c r="H185" s="17">
        <v>-1</v>
      </c>
      <c r="J185" s="9"/>
    </row>
    <row r="186" spans="1:10" ht="16.5" customHeight="1">
      <c r="A186" s="9"/>
      <c r="C186" s="15" t="s">
        <v>87</v>
      </c>
      <c r="D186" s="16"/>
      <c r="E186" s="16">
        <v>138</v>
      </c>
      <c r="F186" s="16">
        <v>170</v>
      </c>
      <c r="G186" s="17">
        <v>-1</v>
      </c>
      <c r="H186" s="17">
        <v>-1</v>
      </c>
      <c r="J186" s="9"/>
    </row>
    <row r="187" spans="1:10" ht="16.5" customHeight="1">
      <c r="A187" s="9"/>
      <c r="C187" s="15" t="s">
        <v>88</v>
      </c>
      <c r="D187" s="16"/>
      <c r="E187" s="16"/>
      <c r="F187" s="16">
        <v>2059</v>
      </c>
      <c r="G187" s="17"/>
      <c r="H187" s="17">
        <v>-1</v>
      </c>
      <c r="J187" s="9"/>
    </row>
    <row r="188" spans="1:10" ht="16.5" customHeight="1">
      <c r="A188" s="9"/>
      <c r="C188" s="15" t="s">
        <v>89</v>
      </c>
      <c r="D188" s="16"/>
      <c r="E188" s="16">
        <v>520</v>
      </c>
      <c r="F188" s="16"/>
      <c r="G188" s="17">
        <v>-1</v>
      </c>
      <c r="H188" s="17"/>
      <c r="J188" s="9"/>
    </row>
    <row r="189" spans="1:10" ht="16.5" customHeight="1">
      <c r="A189" s="9"/>
      <c r="C189" s="15" t="s">
        <v>90</v>
      </c>
      <c r="D189" s="16"/>
      <c r="E189" s="16"/>
      <c r="F189" s="16">
        <v>302</v>
      </c>
      <c r="G189" s="17"/>
      <c r="H189" s="17">
        <v>-1</v>
      </c>
      <c r="J189" s="9"/>
    </row>
    <row r="190" spans="1:10" ht="16.5" customHeight="1">
      <c r="A190" s="9"/>
      <c r="C190" s="15" t="s">
        <v>91</v>
      </c>
      <c r="D190" s="16"/>
      <c r="E190" s="16">
        <v>492</v>
      </c>
      <c r="F190" s="16">
        <v>490</v>
      </c>
      <c r="G190" s="17">
        <v>-1</v>
      </c>
      <c r="H190" s="17">
        <v>-1</v>
      </c>
      <c r="J190" s="9"/>
    </row>
    <row r="191" spans="1:10" ht="16.5" customHeight="1">
      <c r="A191" s="9"/>
      <c r="C191" s="15" t="s">
        <v>92</v>
      </c>
      <c r="D191" s="16"/>
      <c r="E191" s="16">
        <v>95</v>
      </c>
      <c r="F191" s="16"/>
      <c r="G191" s="17">
        <v>-1</v>
      </c>
      <c r="H191" s="17"/>
      <c r="J191" s="9"/>
    </row>
    <row r="192" spans="1:10" ht="16.5" customHeight="1">
      <c r="A192" s="9"/>
      <c r="C192" s="15" t="s">
        <v>93</v>
      </c>
      <c r="D192" s="16"/>
      <c r="E192" s="16">
        <v>286</v>
      </c>
      <c r="F192" s="16"/>
      <c r="G192" s="17">
        <v>-1</v>
      </c>
      <c r="H192" s="17"/>
      <c r="J192" s="9"/>
    </row>
    <row r="193" spans="1:10" ht="16.5" customHeight="1">
      <c r="A193" s="9"/>
      <c r="C193" s="15" t="s">
        <v>94</v>
      </c>
      <c r="D193" s="16"/>
      <c r="E193" s="16"/>
      <c r="F193" s="16">
        <v>660</v>
      </c>
      <c r="G193" s="17"/>
      <c r="H193" s="17">
        <v>-1</v>
      </c>
      <c r="J193" s="9"/>
    </row>
    <row r="194" spans="1:10" ht="16.5" customHeight="1">
      <c r="A194" s="9"/>
      <c r="C194" s="15" t="s">
        <v>95</v>
      </c>
      <c r="D194" s="16"/>
      <c r="E194" s="16">
        <v>1440</v>
      </c>
      <c r="F194" s="16">
        <v>970</v>
      </c>
      <c r="G194" s="17">
        <v>-1</v>
      </c>
      <c r="H194" s="17">
        <v>-1</v>
      </c>
      <c r="J194" s="9"/>
    </row>
    <row r="195" spans="1:10" ht="16.5" customHeight="1">
      <c r="A195" s="9"/>
      <c r="C195" s="15" t="s">
        <v>96</v>
      </c>
      <c r="D195" s="16"/>
      <c r="E195" s="16">
        <v>7852</v>
      </c>
      <c r="F195" s="16">
        <v>6348</v>
      </c>
      <c r="G195" s="17">
        <v>-1</v>
      </c>
      <c r="H195" s="17">
        <v>-1</v>
      </c>
      <c r="J195" s="9"/>
    </row>
    <row r="196" spans="1:10" ht="16.5" customHeight="1">
      <c r="A196" s="9"/>
      <c r="C196" s="15" t="s">
        <v>97</v>
      </c>
      <c r="D196" s="16"/>
      <c r="E196" s="16">
        <v>1595</v>
      </c>
      <c r="F196" s="16">
        <v>10706</v>
      </c>
      <c r="G196" s="17">
        <v>-1</v>
      </c>
      <c r="H196" s="17">
        <v>-1</v>
      </c>
      <c r="J196" s="9"/>
    </row>
    <row r="197" spans="1:10" ht="16.5" customHeight="1">
      <c r="A197" s="9"/>
      <c r="C197" s="15" t="s">
        <v>98</v>
      </c>
      <c r="D197" s="16"/>
      <c r="E197" s="16">
        <v>545</v>
      </c>
      <c r="F197" s="16"/>
      <c r="G197" s="17">
        <v>-1</v>
      </c>
      <c r="H197" s="17"/>
      <c r="J197" s="9"/>
    </row>
    <row r="198" spans="1:10" ht="16.5" customHeight="1">
      <c r="A198" s="9"/>
      <c r="C198" s="15" t="s">
        <v>99</v>
      </c>
      <c r="D198" s="16"/>
      <c r="E198" s="16">
        <v>26</v>
      </c>
      <c r="F198" s="16">
        <v>20</v>
      </c>
      <c r="G198" s="17">
        <v>-1</v>
      </c>
      <c r="H198" s="17">
        <v>-1</v>
      </c>
      <c r="J198" s="9"/>
    </row>
    <row r="199" spans="1:10" ht="16.5" customHeight="1">
      <c r="A199" s="9"/>
      <c r="C199" s="2" t="s">
        <v>8</v>
      </c>
      <c r="D199" s="12">
        <f>SUBTOTAL(109,PaisSacaMensal['[CY']])</f>
        <v>293467</v>
      </c>
      <c r="E199" s="12">
        <f>SUBTOTAL(109,PaisSacaMensal['[LY']])</f>
        <v>324431</v>
      </c>
      <c r="F199" s="12">
        <f>SUBTOTAL(109,PaisSacaMensal['[2YA']])</f>
        <v>320429</v>
      </c>
      <c r="G199" s="8">
        <f>PaisSacaMensal[[#Totals],['[CY']]]/PaisSacaMensal[[#Totals],['[LY']]]-1</f>
        <v>-9.5440941217084685E-2</v>
      </c>
      <c r="H199" s="8">
        <f>PaisSacaMensal[[#Totals],['[CY']]]/PaisSacaMensal[[#Totals],['[2YA']]]-1</f>
        <v>-8.4143445193787025E-2</v>
      </c>
      <c r="J199" s="9"/>
    </row>
    <row r="200" spans="1:10" ht="16.5" customHeight="1">
      <c r="A200" s="9"/>
      <c r="C200" s="7" t="s">
        <v>9</v>
      </c>
      <c r="J200" s="9"/>
    </row>
    <row r="201" spans="1:10" ht="16.5" customHeight="1">
      <c r="A201" s="9"/>
      <c r="J201" s="9"/>
    </row>
    <row r="202" spans="1:10" ht="16.5" customHeight="1">
      <c r="A202" s="9"/>
      <c r="C202" s="1" t="str" cm="1">
        <f t="array" ref="C202:H211">_xlfn._xlws.SORT(_xlfn._xlws.FILTER(PaisSacaMensal[],PaisSacaMensal['[CY']]&gt;=LARGE(PaisSacaMensal['[CY']],10)),2,1)</f>
        <v>Emirados Árabes Unidos</v>
      </c>
      <c r="D202" s="1">
        <v>9001</v>
      </c>
      <c r="E202" s="1">
        <v>3217</v>
      </c>
      <c r="F202" s="1">
        <v>1710</v>
      </c>
      <c r="G202" s="1">
        <v>1.7979483991296199</v>
      </c>
      <c r="H202" s="1">
        <v>4.2637426900584803</v>
      </c>
      <c r="J202" s="9"/>
    </row>
    <row r="203" spans="1:10" ht="16.5" customHeight="1">
      <c r="A203" s="9"/>
      <c r="C203" s="1" t="str">
        <v>Indonésia</v>
      </c>
      <c r="D203" s="1">
        <v>9017</v>
      </c>
      <c r="E203" s="1">
        <v>7514</v>
      </c>
      <c r="F203" s="1">
        <v>0</v>
      </c>
      <c r="G203" s="1">
        <v>0.20002661698163399</v>
      </c>
      <c r="H203" s="1">
        <v>0</v>
      </c>
      <c r="J203" s="9"/>
    </row>
    <row r="204" spans="1:10" ht="16.5" customHeight="1">
      <c r="A204" s="9"/>
      <c r="C204" s="1" t="str">
        <v>Alemanha</v>
      </c>
      <c r="D204" s="1">
        <v>11763</v>
      </c>
      <c r="E204" s="1">
        <v>5097</v>
      </c>
      <c r="F204" s="1">
        <v>5384</v>
      </c>
      <c r="G204" s="1">
        <v>1.3078281341965901</v>
      </c>
      <c r="H204" s="1">
        <v>1.1848068350668599</v>
      </c>
      <c r="J204" s="9"/>
    </row>
    <row r="205" spans="1:10" ht="16.5" customHeight="1">
      <c r="A205" s="9"/>
      <c r="C205" s="1" t="str">
        <v>Rússia</v>
      </c>
      <c r="D205" s="1">
        <v>11848</v>
      </c>
      <c r="E205" s="1">
        <v>5676</v>
      </c>
      <c r="F205" s="1">
        <v>32159</v>
      </c>
      <c r="G205" s="1">
        <v>1.0873854827343199</v>
      </c>
      <c r="H205" s="1">
        <v>-0.63158058397338201</v>
      </c>
      <c r="J205" s="9"/>
    </row>
    <row r="206" spans="1:10" ht="16.5" customHeight="1">
      <c r="A206" s="9"/>
      <c r="C206" s="1" t="str">
        <v>Países Baixos (Holanda)</v>
      </c>
      <c r="D206" s="1">
        <v>12517</v>
      </c>
      <c r="E206" s="1">
        <v>5675</v>
      </c>
      <c r="F206" s="1">
        <v>8798</v>
      </c>
      <c r="G206" s="1">
        <v>1.20563876651982</v>
      </c>
      <c r="H206" s="1">
        <v>0.42270970675153402</v>
      </c>
      <c r="J206" s="9"/>
    </row>
    <row r="207" spans="1:10" ht="16.5" customHeight="1">
      <c r="A207" s="9"/>
      <c r="C207" s="1" t="str">
        <v>Chile</v>
      </c>
      <c r="D207" s="1">
        <v>13418</v>
      </c>
      <c r="E207" s="1">
        <v>1560</v>
      </c>
      <c r="F207" s="1">
        <v>8702</v>
      </c>
      <c r="G207" s="1">
        <v>7.60128205128205</v>
      </c>
      <c r="H207" s="1">
        <v>0.54194438060215999</v>
      </c>
      <c r="J207" s="9"/>
    </row>
    <row r="208" spans="1:10" ht="16.5" customHeight="1">
      <c r="A208" s="9"/>
      <c r="C208" s="1" t="str">
        <v>Peru</v>
      </c>
      <c r="D208" s="1">
        <v>14158</v>
      </c>
      <c r="E208" s="1">
        <v>5644</v>
      </c>
      <c r="F208" s="1">
        <v>7494</v>
      </c>
      <c r="G208" s="1">
        <v>1.5085046066619401</v>
      </c>
      <c r="H208" s="1">
        <v>0.889244729116627</v>
      </c>
      <c r="J208" s="9"/>
    </row>
    <row r="209" spans="1:10" ht="16.5" customHeight="1">
      <c r="A209" s="9"/>
      <c r="C209" s="1" t="str">
        <v>Japão</v>
      </c>
      <c r="D209" s="1">
        <v>19811</v>
      </c>
      <c r="E209" s="1">
        <v>14008</v>
      </c>
      <c r="F209" s="1">
        <v>17946</v>
      </c>
      <c r="G209" s="1">
        <v>0.41426327812678498</v>
      </c>
      <c r="H209" s="1">
        <v>0.103922879750362</v>
      </c>
      <c r="J209" s="9"/>
    </row>
    <row r="210" spans="1:10" ht="16.5" customHeight="1">
      <c r="A210" s="9"/>
      <c r="C210" s="1" t="str">
        <v>Polônia</v>
      </c>
      <c r="D210" s="1">
        <v>21058</v>
      </c>
      <c r="E210" s="1">
        <v>11952</v>
      </c>
      <c r="F210" s="1">
        <v>11645</v>
      </c>
      <c r="G210" s="1">
        <v>0.76188085676037498</v>
      </c>
      <c r="H210" s="1">
        <v>0.80832975525976802</v>
      </c>
      <c r="J210" s="9"/>
    </row>
    <row r="211" spans="1:10" ht="16.5" customHeight="1">
      <c r="A211" s="9"/>
      <c r="C211" s="1" t="str">
        <v>Estados Unidos</v>
      </c>
      <c r="D211" s="1">
        <v>59389</v>
      </c>
      <c r="E211" s="1">
        <v>92343</v>
      </c>
      <c r="F211" s="1">
        <v>65651</v>
      </c>
      <c r="G211" s="1">
        <v>-0.35686516574077098</v>
      </c>
      <c r="H211" s="1">
        <v>-9.5383162480388695E-2</v>
      </c>
      <c r="J211" s="9"/>
    </row>
    <row r="212" spans="1:10" ht="16.5" customHeight="1">
      <c r="A212" s="9"/>
      <c r="J212" s="9"/>
    </row>
    <row r="213" spans="1:10" ht="16.5" customHeight="1">
      <c r="A213" s="9"/>
      <c r="J213" s="9"/>
    </row>
    <row r="214" spans="1:10" ht="16.5" customHeight="1">
      <c r="A214" s="9"/>
      <c r="J214" s="9"/>
    </row>
    <row r="215" spans="1:10" ht="16.5" customHeight="1">
      <c r="A215" s="9"/>
      <c r="J215" s="9"/>
    </row>
    <row r="216" spans="1:10" ht="16.5" customHeight="1">
      <c r="A216" s="9"/>
      <c r="J216" s="9"/>
    </row>
    <row r="217" spans="1:10" ht="16.5" customHeight="1">
      <c r="A217" s="9"/>
      <c r="C217" s="6" t="s">
        <v>11</v>
      </c>
      <c r="J217" s="9"/>
    </row>
    <row r="218" spans="1:10" ht="16.5" customHeight="1">
      <c r="A218" s="9"/>
      <c r="C218" s="3" t="s">
        <v>13</v>
      </c>
      <c r="D218" s="4" t="str" cm="1">
        <f t="array" ref="D218:H218">D6:H6</f>
        <v>jan/2024</v>
      </c>
      <c r="E218" s="4" t="str">
        <v>jan/2023</v>
      </c>
      <c r="F218" s="4" t="str">
        <v>jan/2022</v>
      </c>
      <c r="G218" s="4" t="str">
        <v>2024x2023</v>
      </c>
      <c r="H218" s="4" t="str">
        <v>2024x2022</v>
      </c>
      <c r="J218" s="9"/>
    </row>
    <row r="219" spans="1:10" ht="16.5" customHeight="1">
      <c r="A219" s="9"/>
      <c r="C219" s="15" t="s">
        <v>14</v>
      </c>
      <c r="D219" s="16">
        <v>11728159.369999999</v>
      </c>
      <c r="E219" s="16">
        <v>18107292.219999999</v>
      </c>
      <c r="F219" s="16">
        <v>10746703.85</v>
      </c>
      <c r="G219" s="17">
        <v>-0.35229634406375099</v>
      </c>
      <c r="H219" s="17">
        <v>9.1326190215989006E-2</v>
      </c>
      <c r="J219" s="9"/>
    </row>
    <row r="220" spans="1:10" ht="16.5" customHeight="1">
      <c r="A220" s="9"/>
      <c r="C220" s="15" t="s">
        <v>15</v>
      </c>
      <c r="D220" s="16">
        <v>3981090.69</v>
      </c>
      <c r="E220" s="16">
        <v>2026808.62</v>
      </c>
      <c r="F220" s="16">
        <v>1384681.11</v>
      </c>
      <c r="G220" s="17">
        <v>0.96421637973890195</v>
      </c>
      <c r="H220" s="17">
        <v>1.8750956889994701</v>
      </c>
      <c r="J220" s="9"/>
    </row>
    <row r="221" spans="1:10" ht="16.5" customHeight="1">
      <c r="A221" s="9"/>
      <c r="C221" s="15" t="s">
        <v>16</v>
      </c>
      <c r="D221" s="16">
        <v>3392038.59</v>
      </c>
      <c r="E221" s="16">
        <v>2911806.25</v>
      </c>
      <c r="F221" s="16">
        <v>3373634.74</v>
      </c>
      <c r="G221" s="17">
        <v>0.16492592527404601</v>
      </c>
      <c r="H221" s="17">
        <v>5.4551993379103898E-3</v>
      </c>
      <c r="J221" s="9"/>
    </row>
    <row r="222" spans="1:10" ht="16.5" customHeight="1">
      <c r="A222" s="9"/>
      <c r="C222" s="15" t="s">
        <v>18</v>
      </c>
      <c r="D222" s="16">
        <v>2679540.73</v>
      </c>
      <c r="E222" s="16">
        <v>432144.96</v>
      </c>
      <c r="F222" s="16">
        <v>1674482.6</v>
      </c>
      <c r="G222" s="17">
        <v>5.2005599463661403</v>
      </c>
      <c r="H222" s="17">
        <v>0.60022010978197105</v>
      </c>
      <c r="J222" s="9"/>
    </row>
    <row r="223" spans="1:10" ht="16.5" customHeight="1">
      <c r="A223" s="9"/>
      <c r="C223" s="15" t="s">
        <v>19</v>
      </c>
      <c r="D223" s="16">
        <v>2602393.75</v>
      </c>
      <c r="E223" s="16">
        <v>1009900.72</v>
      </c>
      <c r="F223" s="16">
        <v>1512916.2</v>
      </c>
      <c r="G223" s="17">
        <v>1.5768807749736</v>
      </c>
      <c r="H223" s="17">
        <v>0.72011757822409495</v>
      </c>
      <c r="J223" s="9"/>
    </row>
    <row r="224" spans="1:10" ht="16.5" customHeight="1">
      <c r="A224" s="9"/>
      <c r="C224" s="15" t="s">
        <v>21</v>
      </c>
      <c r="D224" s="16">
        <v>2584321.61</v>
      </c>
      <c r="E224" s="16">
        <v>1127929.3999999999</v>
      </c>
      <c r="F224" s="16">
        <v>949212.58</v>
      </c>
      <c r="G224" s="17">
        <v>1.2912086607548301</v>
      </c>
      <c r="H224" s="17">
        <v>1.72259519569368</v>
      </c>
      <c r="J224" s="9"/>
    </row>
    <row r="225" spans="1:10" ht="16.5" customHeight="1">
      <c r="A225" s="9"/>
      <c r="C225" s="15" t="s">
        <v>20</v>
      </c>
      <c r="D225" s="16">
        <v>2319977.4300000002</v>
      </c>
      <c r="E225" s="16">
        <v>923174</v>
      </c>
      <c r="F225" s="16">
        <v>4556785.3</v>
      </c>
      <c r="G225" s="17">
        <v>1.51304459397687</v>
      </c>
      <c r="H225" s="17">
        <v>-0.490874097140368</v>
      </c>
      <c r="J225" s="9"/>
    </row>
    <row r="226" spans="1:10" ht="16.5" customHeight="1">
      <c r="A226" s="9"/>
      <c r="C226" s="15" t="s">
        <v>17</v>
      </c>
      <c r="D226" s="16">
        <v>1953665.6</v>
      </c>
      <c r="E226" s="16">
        <v>1470151.01</v>
      </c>
      <c r="F226" s="16">
        <v>981645.78</v>
      </c>
      <c r="G226" s="17">
        <v>0.32888770385567401</v>
      </c>
      <c r="H226" s="17">
        <v>0.99019405961282603</v>
      </c>
      <c r="J226" s="9"/>
    </row>
    <row r="227" spans="1:10" ht="16.5" customHeight="1">
      <c r="A227" s="9"/>
      <c r="C227" s="15" t="s">
        <v>24</v>
      </c>
      <c r="D227" s="16">
        <v>1932368.5556999999</v>
      </c>
      <c r="E227" s="16">
        <v>2348431.7703999998</v>
      </c>
      <c r="F227" s="16">
        <v>4263212.8</v>
      </c>
      <c r="G227" s="17">
        <v>-0.17716640523438901</v>
      </c>
      <c r="H227" s="17">
        <v>-0.54673420109359805</v>
      </c>
      <c r="J227" s="9"/>
    </row>
    <row r="228" spans="1:10" ht="16.5" customHeight="1">
      <c r="A228" s="9"/>
      <c r="C228" s="15" t="s">
        <v>23</v>
      </c>
      <c r="D228" s="16">
        <v>1736245.4452</v>
      </c>
      <c r="E228" s="16">
        <v>686182.95799999998</v>
      </c>
      <c r="F228" s="16">
        <v>266816.99</v>
      </c>
      <c r="G228" s="17">
        <v>1.5302952003654999</v>
      </c>
      <c r="H228" s="17">
        <v>5.5072522000941504</v>
      </c>
      <c r="J228" s="9"/>
    </row>
    <row r="229" spans="1:10" ht="16.5" customHeight="1">
      <c r="A229" s="9"/>
      <c r="C229" s="15" t="s">
        <v>22</v>
      </c>
      <c r="D229" s="16">
        <v>1525838.4</v>
      </c>
      <c r="E229" s="16">
        <v>1348555</v>
      </c>
      <c r="F229" s="16"/>
      <c r="G229" s="17">
        <v>0.131461749798859</v>
      </c>
      <c r="H229" s="17"/>
      <c r="J229" s="9"/>
    </row>
    <row r="230" spans="1:10" ht="16.5" customHeight="1">
      <c r="A230" s="9"/>
      <c r="C230" s="15" t="s">
        <v>25</v>
      </c>
      <c r="D230" s="16">
        <v>1484545.6</v>
      </c>
      <c r="E230" s="16">
        <v>2646710.6</v>
      </c>
      <c r="F230" s="16">
        <v>1799010.3</v>
      </c>
      <c r="G230" s="17">
        <v>-0.43909787492444402</v>
      </c>
      <c r="H230" s="17">
        <v>-0.17479872127469201</v>
      </c>
      <c r="J230" s="9"/>
    </row>
    <row r="231" spans="1:10" ht="16.5" customHeight="1">
      <c r="A231" s="9"/>
      <c r="C231" s="15" t="s">
        <v>28</v>
      </c>
      <c r="D231" s="16">
        <v>1275707.56</v>
      </c>
      <c r="E231" s="16">
        <v>1518186.75</v>
      </c>
      <c r="F231" s="16">
        <v>227657.46</v>
      </c>
      <c r="G231" s="17">
        <v>-0.15971631289760599</v>
      </c>
      <c r="H231" s="17">
        <v>4.6036273092039197</v>
      </c>
      <c r="J231" s="9"/>
    </row>
    <row r="232" spans="1:10" ht="16.5" customHeight="1">
      <c r="A232" s="9"/>
      <c r="C232" s="15" t="s">
        <v>26</v>
      </c>
      <c r="D232" s="16">
        <v>1274980.5900000001</v>
      </c>
      <c r="E232" s="16">
        <v>988859.6</v>
      </c>
      <c r="F232" s="16">
        <v>1614339.79</v>
      </c>
      <c r="G232" s="17">
        <v>0.28934440238027698</v>
      </c>
      <c r="H232" s="17">
        <v>-0.21021547142810601</v>
      </c>
      <c r="J232" s="9"/>
    </row>
    <row r="233" spans="1:10" ht="16.5" customHeight="1">
      <c r="A233" s="9"/>
      <c r="C233" s="15" t="s">
        <v>27</v>
      </c>
      <c r="D233" s="16">
        <v>1254457.46</v>
      </c>
      <c r="E233" s="16">
        <v>5123900.71</v>
      </c>
      <c r="F233" s="16">
        <v>2145786.84</v>
      </c>
      <c r="G233" s="17">
        <v>-0.75517529885937196</v>
      </c>
      <c r="H233" s="17">
        <v>-0.41538579852600799</v>
      </c>
      <c r="J233" s="9"/>
    </row>
    <row r="234" spans="1:10" ht="16.5" customHeight="1">
      <c r="A234" s="9"/>
      <c r="C234" s="15" t="s">
        <v>29</v>
      </c>
      <c r="D234" s="16">
        <v>1166409.94</v>
      </c>
      <c r="E234" s="16">
        <v>5355833.78</v>
      </c>
      <c r="F234" s="16">
        <v>180924.48</v>
      </c>
      <c r="G234" s="17">
        <v>-0.78221692682927102</v>
      </c>
      <c r="H234" s="17">
        <v>5.4469437192800001</v>
      </c>
      <c r="J234" s="9"/>
    </row>
    <row r="235" spans="1:10" ht="16.5" customHeight="1">
      <c r="A235" s="9"/>
      <c r="C235" s="15" t="s">
        <v>31</v>
      </c>
      <c r="D235" s="16">
        <v>1054176.6100000001</v>
      </c>
      <c r="E235" s="16">
        <v>168177.09</v>
      </c>
      <c r="F235" s="16">
        <v>80905.440000000002</v>
      </c>
      <c r="G235" s="17">
        <v>5.2682533631661697</v>
      </c>
      <c r="H235" s="17">
        <v>12.0297370609442</v>
      </c>
      <c r="J235" s="9"/>
    </row>
    <row r="236" spans="1:10" ht="16.5" customHeight="1">
      <c r="A236" s="9"/>
      <c r="C236" s="15" t="s">
        <v>30</v>
      </c>
      <c r="D236" s="16">
        <v>1011081.95</v>
      </c>
      <c r="E236" s="16">
        <v>232002.57</v>
      </c>
      <c r="F236" s="16">
        <v>354080.79</v>
      </c>
      <c r="G236" s="17">
        <v>3.35806357662331</v>
      </c>
      <c r="H236" s="17">
        <v>1.8555120146450199</v>
      </c>
      <c r="J236" s="9"/>
    </row>
    <row r="237" spans="1:10" ht="16.5" customHeight="1">
      <c r="A237" s="9"/>
      <c r="C237" s="15" t="s">
        <v>32</v>
      </c>
      <c r="D237" s="16">
        <v>976872.07220000005</v>
      </c>
      <c r="E237" s="16">
        <v>658703.41969999997</v>
      </c>
      <c r="F237" s="16">
        <v>1175389.8999999999</v>
      </c>
      <c r="G237" s="17">
        <v>0.48302262138688601</v>
      </c>
      <c r="H237" s="17">
        <v>-0.168895298317605</v>
      </c>
      <c r="J237" s="9"/>
    </row>
    <row r="238" spans="1:10" ht="16.5" customHeight="1">
      <c r="A238" s="9"/>
      <c r="C238" s="15" t="s">
        <v>33</v>
      </c>
      <c r="D238" s="16">
        <v>786024.08</v>
      </c>
      <c r="E238" s="16">
        <v>268096.03999999998</v>
      </c>
      <c r="F238" s="16">
        <v>68597.52</v>
      </c>
      <c r="G238" s="17">
        <v>1.9318750101642701</v>
      </c>
      <c r="H238" s="17">
        <v>10.458491210761</v>
      </c>
      <c r="J238" s="9"/>
    </row>
    <row r="239" spans="1:10" ht="16.5" customHeight="1">
      <c r="A239" s="9"/>
      <c r="C239" s="15" t="s">
        <v>36</v>
      </c>
      <c r="D239" s="16">
        <v>782901</v>
      </c>
      <c r="E239" s="16">
        <v>488307.72</v>
      </c>
      <c r="F239" s="16">
        <v>865383.36</v>
      </c>
      <c r="G239" s="17">
        <v>0.60329433251638998</v>
      </c>
      <c r="H239" s="17">
        <v>-9.53130876008524E-2</v>
      </c>
      <c r="J239" s="9"/>
    </row>
    <row r="240" spans="1:10" ht="16.5" customHeight="1">
      <c r="A240" s="9"/>
      <c r="C240" s="15" t="s">
        <v>34</v>
      </c>
      <c r="D240" s="16">
        <v>771126.46</v>
      </c>
      <c r="E240" s="16">
        <v>630457.25</v>
      </c>
      <c r="F240" s="16">
        <v>842889.11</v>
      </c>
      <c r="G240" s="17">
        <v>0.22312251940952399</v>
      </c>
      <c r="H240" s="17">
        <v>-8.5138898045556702E-2</v>
      </c>
      <c r="J240" s="9"/>
    </row>
    <row r="241" spans="1:10" ht="16.5" customHeight="1">
      <c r="A241" s="9"/>
      <c r="C241" s="15" t="s">
        <v>35</v>
      </c>
      <c r="D241" s="16">
        <v>743916.45</v>
      </c>
      <c r="E241" s="16"/>
      <c r="F241" s="16">
        <v>196077.14</v>
      </c>
      <c r="G241" s="17"/>
      <c r="H241" s="17">
        <v>2.79399888227664</v>
      </c>
      <c r="J241" s="9"/>
    </row>
    <row r="242" spans="1:10" ht="16.5" customHeight="1">
      <c r="A242" s="9"/>
      <c r="C242" s="15" t="s">
        <v>37</v>
      </c>
      <c r="D242" s="16">
        <v>652291.19999999995</v>
      </c>
      <c r="E242" s="16">
        <v>158243.51999999999</v>
      </c>
      <c r="F242" s="16">
        <v>2150872.4300000002</v>
      </c>
      <c r="G242" s="17">
        <v>3.1220721075972002</v>
      </c>
      <c r="H242" s="17">
        <v>-0.69673180477746899</v>
      </c>
      <c r="J242" s="9"/>
    </row>
    <row r="243" spans="1:10" ht="16.5" customHeight="1">
      <c r="A243" s="9"/>
      <c r="C243" s="15" t="s">
        <v>38</v>
      </c>
      <c r="D243" s="16">
        <v>470720.48</v>
      </c>
      <c r="E243" s="16">
        <v>739073.52</v>
      </c>
      <c r="F243" s="16">
        <v>68681.36</v>
      </c>
      <c r="G243" s="17">
        <v>-0.36309383672682499</v>
      </c>
      <c r="H243" s="17">
        <v>5.8536860656224601</v>
      </c>
      <c r="J243" s="9"/>
    </row>
    <row r="244" spans="1:10" ht="16.5" customHeight="1">
      <c r="A244" s="9"/>
      <c r="C244" s="15" t="s">
        <v>39</v>
      </c>
      <c r="D244" s="16">
        <v>450807.07</v>
      </c>
      <c r="E244" s="16">
        <v>254659.68</v>
      </c>
      <c r="F244" s="16"/>
      <c r="G244" s="17">
        <v>0.77023339540833502</v>
      </c>
      <c r="H244" s="17"/>
      <c r="J244" s="9"/>
    </row>
    <row r="245" spans="1:10" ht="16.5" customHeight="1">
      <c r="A245" s="9"/>
      <c r="C245" s="15" t="s">
        <v>44</v>
      </c>
      <c r="D245" s="16">
        <v>442348.38</v>
      </c>
      <c r="E245" s="16">
        <v>281869.7</v>
      </c>
      <c r="F245" s="16">
        <v>236715.98</v>
      </c>
      <c r="G245" s="17">
        <v>0.56933639905247002</v>
      </c>
      <c r="H245" s="17">
        <v>0.86868829049901897</v>
      </c>
      <c r="J245" s="9"/>
    </row>
    <row r="246" spans="1:10" ht="16.5" customHeight="1">
      <c r="A246" s="9"/>
      <c r="C246" s="15" t="s">
        <v>41</v>
      </c>
      <c r="D246" s="16">
        <v>386407.64</v>
      </c>
      <c r="E246" s="16">
        <v>347293.44</v>
      </c>
      <c r="F246" s="16">
        <v>259512.44</v>
      </c>
      <c r="G246" s="17">
        <v>0.11262579563840899</v>
      </c>
      <c r="H246" s="17">
        <v>0.48897540326005201</v>
      </c>
      <c r="J246" s="9"/>
    </row>
    <row r="247" spans="1:10" ht="16.5" customHeight="1">
      <c r="A247" s="9"/>
      <c r="C247" s="15" t="s">
        <v>46</v>
      </c>
      <c r="D247" s="16">
        <v>345884.42</v>
      </c>
      <c r="E247" s="16">
        <v>159893.93</v>
      </c>
      <c r="F247" s="16">
        <v>175893.01</v>
      </c>
      <c r="G247" s="17">
        <v>1.1632116991558099</v>
      </c>
      <c r="H247" s="17">
        <v>0.96644778550324395</v>
      </c>
      <c r="J247" s="9"/>
    </row>
    <row r="248" spans="1:10" ht="16.5" customHeight="1">
      <c r="A248" s="9"/>
      <c r="C248" s="15" t="s">
        <v>49</v>
      </c>
      <c r="D248" s="16">
        <v>311902.75</v>
      </c>
      <c r="E248" s="16">
        <v>794496.4</v>
      </c>
      <c r="F248" s="16">
        <v>574324.28</v>
      </c>
      <c r="G248" s="17">
        <v>-0.60742081398984304</v>
      </c>
      <c r="H248" s="17">
        <v>-0.45692222867540999</v>
      </c>
      <c r="J248" s="9"/>
    </row>
    <row r="249" spans="1:10" ht="16.5" customHeight="1">
      <c r="A249" s="9"/>
      <c r="C249" s="15" t="s">
        <v>43</v>
      </c>
      <c r="D249" s="16">
        <v>306686.96000000002</v>
      </c>
      <c r="E249" s="16">
        <v>139145.82</v>
      </c>
      <c r="F249" s="16">
        <v>101000.89</v>
      </c>
      <c r="G249" s="17">
        <v>1.2040687963174199</v>
      </c>
      <c r="H249" s="17">
        <v>2.0364777973738599</v>
      </c>
      <c r="J249" s="9"/>
    </row>
    <row r="250" spans="1:10" ht="16.5" customHeight="1">
      <c r="A250" s="9"/>
      <c r="C250" s="15" t="s">
        <v>47</v>
      </c>
      <c r="D250" s="16">
        <v>305066.96000000002</v>
      </c>
      <c r="E250" s="16">
        <v>87618.5</v>
      </c>
      <c r="F250" s="16">
        <v>68493.399999999994</v>
      </c>
      <c r="G250" s="17">
        <v>2.48176423928737</v>
      </c>
      <c r="H250" s="17">
        <v>3.45396140358049</v>
      </c>
      <c r="J250" s="9"/>
    </row>
    <row r="251" spans="1:10" ht="16.5" customHeight="1">
      <c r="A251" s="9"/>
      <c r="C251" s="15" t="s">
        <v>42</v>
      </c>
      <c r="D251" s="16">
        <v>302356.8</v>
      </c>
      <c r="E251" s="16">
        <v>197740.79999999999</v>
      </c>
      <c r="F251" s="16"/>
      <c r="G251" s="17">
        <v>0.52905621905039402</v>
      </c>
      <c r="H251" s="17"/>
      <c r="J251" s="9"/>
    </row>
    <row r="252" spans="1:10" ht="16.5" customHeight="1">
      <c r="A252" s="9"/>
      <c r="C252" s="15" t="s">
        <v>40</v>
      </c>
      <c r="D252" s="16">
        <v>300583.52</v>
      </c>
      <c r="E252" s="16">
        <v>420618.23999999999</v>
      </c>
      <c r="F252" s="16">
        <v>721978.47</v>
      </c>
      <c r="G252" s="17">
        <v>-0.28537687761710001</v>
      </c>
      <c r="H252" s="17">
        <v>-0.58366692015068</v>
      </c>
      <c r="J252" s="9"/>
    </row>
    <row r="253" spans="1:10" ht="16.5" customHeight="1">
      <c r="A253" s="9"/>
      <c r="C253" s="15" t="s">
        <v>45</v>
      </c>
      <c r="D253" s="16">
        <v>244881.3</v>
      </c>
      <c r="E253" s="16">
        <v>197417.04</v>
      </c>
      <c r="F253" s="16">
        <v>162049.62</v>
      </c>
      <c r="G253" s="17">
        <v>0.24042635833259399</v>
      </c>
      <c r="H253" s="17">
        <v>0.51115010328318</v>
      </c>
      <c r="J253" s="9"/>
    </row>
    <row r="254" spans="1:10" ht="16.5" customHeight="1">
      <c r="A254" s="9"/>
      <c r="C254" s="15" t="s">
        <v>48</v>
      </c>
      <c r="D254" s="16">
        <v>212932.8</v>
      </c>
      <c r="E254" s="16">
        <v>234536.68</v>
      </c>
      <c r="F254" s="16">
        <v>68548</v>
      </c>
      <c r="G254" s="17">
        <v>-9.2113011917794904E-2</v>
      </c>
      <c r="H254" s="17">
        <v>2.1063313298710402</v>
      </c>
      <c r="J254" s="9"/>
    </row>
    <row r="255" spans="1:10" ht="16.5" customHeight="1">
      <c r="A255" s="9"/>
      <c r="C255" s="15" t="s">
        <v>51</v>
      </c>
      <c r="D255" s="16">
        <v>181634.92</v>
      </c>
      <c r="E255" s="16">
        <v>31510.91</v>
      </c>
      <c r="F255" s="16">
        <v>49410.44</v>
      </c>
      <c r="G255" s="17">
        <v>4.7641915133520403</v>
      </c>
      <c r="H255" s="17">
        <v>2.6760433624958599</v>
      </c>
      <c r="J255" s="9"/>
    </row>
    <row r="256" spans="1:10" ht="16.5" customHeight="1">
      <c r="A256" s="9"/>
      <c r="C256" s="15" t="s">
        <v>54</v>
      </c>
      <c r="D256" s="16">
        <v>176561.86</v>
      </c>
      <c r="E256" s="16">
        <v>147628.22</v>
      </c>
      <c r="F256" s="16"/>
      <c r="G256" s="17">
        <v>0.19598989949211601</v>
      </c>
      <c r="H256" s="17"/>
      <c r="J256" s="9"/>
    </row>
    <row r="257" spans="1:10" ht="16.5" customHeight="1">
      <c r="A257" s="9"/>
      <c r="C257" s="15" t="s">
        <v>53</v>
      </c>
      <c r="D257" s="16">
        <v>167804.55840000001</v>
      </c>
      <c r="E257" s="16"/>
      <c r="F257" s="16"/>
      <c r="G257" s="17"/>
      <c r="H257" s="17"/>
      <c r="J257" s="9"/>
    </row>
    <row r="258" spans="1:10" ht="16.5" customHeight="1">
      <c r="A258" s="9"/>
      <c r="C258" s="15" t="s">
        <v>55</v>
      </c>
      <c r="D258" s="16">
        <v>160479.35999999999</v>
      </c>
      <c r="E258" s="16"/>
      <c r="F258" s="16">
        <v>174510.72</v>
      </c>
      <c r="G258" s="17"/>
      <c r="H258" s="17">
        <v>-8.0404000396078895E-2</v>
      </c>
      <c r="J258" s="9"/>
    </row>
    <row r="259" spans="1:10" ht="16.5" customHeight="1">
      <c r="A259" s="9"/>
      <c r="C259" s="15" t="s">
        <v>52</v>
      </c>
      <c r="D259" s="16">
        <v>145886.39999999999</v>
      </c>
      <c r="E259" s="16">
        <v>127777.44</v>
      </c>
      <c r="F259" s="16">
        <v>118188.84</v>
      </c>
      <c r="G259" s="17">
        <v>0.141722670292972</v>
      </c>
      <c r="H259" s="17">
        <v>0.23435004523269701</v>
      </c>
      <c r="J259" s="9"/>
    </row>
    <row r="260" spans="1:10" ht="16.5" customHeight="1">
      <c r="A260" s="9"/>
      <c r="C260" s="15" t="s">
        <v>57</v>
      </c>
      <c r="D260" s="16">
        <v>129026.7412</v>
      </c>
      <c r="E260" s="16"/>
      <c r="F260" s="16">
        <v>105458.9</v>
      </c>
      <c r="G260" s="17"/>
      <c r="H260" s="17">
        <v>0.223478921172134</v>
      </c>
      <c r="J260" s="9"/>
    </row>
    <row r="261" spans="1:10" ht="16.5" customHeight="1">
      <c r="A261" s="9"/>
      <c r="C261" s="15" t="s">
        <v>56</v>
      </c>
      <c r="D261" s="16">
        <v>127713.60000000001</v>
      </c>
      <c r="E261" s="16"/>
      <c r="F261" s="16">
        <v>217976.49</v>
      </c>
      <c r="G261" s="17"/>
      <c r="H261" s="17">
        <v>-0.41409461176294698</v>
      </c>
      <c r="J261" s="9"/>
    </row>
    <row r="262" spans="1:10" ht="16.5" customHeight="1">
      <c r="A262" s="9"/>
      <c r="C262" s="15" t="s">
        <v>50</v>
      </c>
      <c r="D262" s="16">
        <v>112854</v>
      </c>
      <c r="E262" s="16">
        <v>45495.12</v>
      </c>
      <c r="F262" s="16">
        <v>702608.14</v>
      </c>
      <c r="G262" s="17">
        <v>1.4805737406561399</v>
      </c>
      <c r="H262" s="17">
        <v>-0.83937846208271905</v>
      </c>
      <c r="J262" s="9"/>
    </row>
    <row r="263" spans="1:10" ht="16.5" customHeight="1">
      <c r="A263" s="9"/>
      <c r="C263" s="15" t="s">
        <v>58</v>
      </c>
      <c r="D263" s="16">
        <v>103721.2</v>
      </c>
      <c r="E263" s="16"/>
      <c r="F263" s="16"/>
      <c r="G263" s="17"/>
      <c r="H263" s="17"/>
      <c r="J263" s="9"/>
    </row>
    <row r="264" spans="1:10" ht="16.5" customHeight="1">
      <c r="A264" s="9"/>
      <c r="C264" s="15" t="s">
        <v>62</v>
      </c>
      <c r="D264" s="16">
        <v>81256.34</v>
      </c>
      <c r="E264" s="16">
        <v>83745.88</v>
      </c>
      <c r="F264" s="16">
        <v>263212.92</v>
      </c>
      <c r="G264" s="17">
        <v>-2.9727313152599199E-2</v>
      </c>
      <c r="H264" s="17">
        <v>-0.691290457930409</v>
      </c>
      <c r="J264" s="9"/>
    </row>
    <row r="265" spans="1:10" ht="16.5" customHeight="1">
      <c r="A265" s="9"/>
      <c r="C265" s="15" t="s">
        <v>60</v>
      </c>
      <c r="D265" s="16">
        <v>80731.199999999997</v>
      </c>
      <c r="E265" s="16">
        <v>111961.3</v>
      </c>
      <c r="F265" s="16">
        <v>182806.8</v>
      </c>
      <c r="G265" s="17">
        <v>-0.27893656111531401</v>
      </c>
      <c r="H265" s="17">
        <v>-0.55837966640190595</v>
      </c>
      <c r="J265" s="9"/>
    </row>
    <row r="266" spans="1:10" ht="16.5" customHeight="1">
      <c r="A266" s="9"/>
      <c r="C266" s="15" t="s">
        <v>59</v>
      </c>
      <c r="D266" s="16">
        <v>66889.2</v>
      </c>
      <c r="E266" s="16">
        <v>152512.12</v>
      </c>
      <c r="F266" s="16">
        <v>369854.49</v>
      </c>
      <c r="G266" s="17">
        <v>-0.56141715163358796</v>
      </c>
      <c r="H266" s="17">
        <v>-0.81914725437022495</v>
      </c>
      <c r="J266" s="9"/>
    </row>
    <row r="267" spans="1:10" ht="16.5" customHeight="1">
      <c r="A267" s="9"/>
      <c r="C267" s="15" t="s">
        <v>63</v>
      </c>
      <c r="D267" s="16">
        <v>64561.49</v>
      </c>
      <c r="E267" s="16">
        <v>76065.66</v>
      </c>
      <c r="F267" s="16"/>
      <c r="G267" s="17">
        <v>-0.15123999449948899</v>
      </c>
      <c r="H267" s="17"/>
      <c r="J267" s="9"/>
    </row>
    <row r="268" spans="1:10" ht="16.5" customHeight="1">
      <c r="A268" s="9"/>
      <c r="C268" s="15" t="s">
        <v>61</v>
      </c>
      <c r="D268" s="16">
        <v>58949.88</v>
      </c>
      <c r="E268" s="16"/>
      <c r="F268" s="16"/>
      <c r="G268" s="17"/>
      <c r="H268" s="17"/>
      <c r="J268" s="9"/>
    </row>
    <row r="269" spans="1:10" ht="16.5" customHeight="1">
      <c r="A269" s="9"/>
      <c r="C269" s="15" t="s">
        <v>68</v>
      </c>
      <c r="D269" s="16">
        <v>52353</v>
      </c>
      <c r="E269" s="16">
        <v>138957.13</v>
      </c>
      <c r="F269" s="16">
        <v>265735.15999999997</v>
      </c>
      <c r="G269" s="17">
        <v>-0.62324351402479305</v>
      </c>
      <c r="H269" s="17">
        <v>-0.80298805773387305</v>
      </c>
      <c r="J269" s="9"/>
    </row>
    <row r="270" spans="1:10" ht="16.5" customHeight="1">
      <c r="A270" s="9"/>
      <c r="C270" s="15" t="s">
        <v>65</v>
      </c>
      <c r="D270" s="16">
        <v>51788</v>
      </c>
      <c r="E270" s="16"/>
      <c r="F270" s="16"/>
      <c r="G270" s="17"/>
      <c r="H270" s="17"/>
      <c r="J270" s="9"/>
    </row>
    <row r="271" spans="1:10" ht="16.5" customHeight="1">
      <c r="A271" s="9"/>
      <c r="C271" s="15" t="s">
        <v>67</v>
      </c>
      <c r="D271" s="16">
        <v>50595.916799999999</v>
      </c>
      <c r="E271" s="16">
        <v>29470.379400000002</v>
      </c>
      <c r="F271" s="16"/>
      <c r="G271" s="17">
        <v>0.71683968208431004</v>
      </c>
      <c r="H271" s="17"/>
      <c r="J271" s="9"/>
    </row>
    <row r="272" spans="1:10" ht="16.5" customHeight="1">
      <c r="A272" s="9"/>
      <c r="C272" s="15" t="s">
        <v>66</v>
      </c>
      <c r="D272" s="16">
        <v>45671.040000000001</v>
      </c>
      <c r="E272" s="16">
        <v>166198.53</v>
      </c>
      <c r="F272" s="16"/>
      <c r="G272" s="17">
        <v>-0.72520190160526699</v>
      </c>
      <c r="H272" s="17"/>
      <c r="J272" s="9"/>
    </row>
    <row r="273" spans="1:10" ht="16.5" customHeight="1">
      <c r="A273" s="9"/>
      <c r="C273" s="15" t="s">
        <v>64</v>
      </c>
      <c r="D273" s="16">
        <v>43508.32</v>
      </c>
      <c r="E273" s="16"/>
      <c r="F273" s="16"/>
      <c r="G273" s="17"/>
      <c r="H273" s="17"/>
      <c r="J273" s="9"/>
    </row>
    <row r="274" spans="1:10" ht="16.5" customHeight="1">
      <c r="A274" s="9"/>
      <c r="C274" s="15" t="s">
        <v>71</v>
      </c>
      <c r="D274" s="16">
        <v>31200</v>
      </c>
      <c r="E274" s="16">
        <v>145805.64000000001</v>
      </c>
      <c r="F274" s="16">
        <v>40917.35</v>
      </c>
      <c r="G274" s="17">
        <v>-0.78601650800339395</v>
      </c>
      <c r="H274" s="17">
        <v>-0.237487276179909</v>
      </c>
      <c r="J274" s="9"/>
    </row>
    <row r="275" spans="1:10" ht="16.5" customHeight="1">
      <c r="A275" s="9"/>
      <c r="C275" s="15" t="s">
        <v>69</v>
      </c>
      <c r="D275" s="16">
        <v>27709.599999999999</v>
      </c>
      <c r="E275" s="16"/>
      <c r="F275" s="16"/>
      <c r="G275" s="17"/>
      <c r="H275" s="17"/>
      <c r="J275" s="9"/>
    </row>
    <row r="276" spans="1:10" ht="16.5" customHeight="1">
      <c r="A276" s="9"/>
      <c r="C276" s="15" t="s">
        <v>70</v>
      </c>
      <c r="D276" s="16">
        <v>25297.9584</v>
      </c>
      <c r="E276" s="16"/>
      <c r="F276" s="16">
        <v>20119</v>
      </c>
      <c r="G276" s="17"/>
      <c r="H276" s="17">
        <v>0.25741629305631503</v>
      </c>
      <c r="J276" s="9"/>
    </row>
    <row r="277" spans="1:10" ht="16.5" customHeight="1">
      <c r="A277" s="9"/>
      <c r="C277" s="15" t="s">
        <v>73</v>
      </c>
      <c r="D277" s="16">
        <v>22692.195800000001</v>
      </c>
      <c r="E277" s="16">
        <v>48908.06</v>
      </c>
      <c r="F277" s="16">
        <v>109707.84</v>
      </c>
      <c r="G277" s="17">
        <v>-0.53602339164546697</v>
      </c>
      <c r="H277" s="17">
        <v>-0.79315793839346405</v>
      </c>
      <c r="J277" s="9"/>
    </row>
    <row r="278" spans="1:10" ht="16.5" customHeight="1">
      <c r="A278" s="9"/>
      <c r="C278" s="15" t="s">
        <v>74</v>
      </c>
      <c r="D278" s="16">
        <v>18451.16</v>
      </c>
      <c r="E278" s="16">
        <v>15168</v>
      </c>
      <c r="F278" s="16">
        <v>105244.52</v>
      </c>
      <c r="G278" s="17">
        <v>0.21645305907172999</v>
      </c>
      <c r="H278" s="17">
        <v>-0.82468293836106599</v>
      </c>
      <c r="J278" s="9"/>
    </row>
    <row r="279" spans="1:10" ht="16.5" customHeight="1">
      <c r="A279" s="9"/>
      <c r="C279" s="15" t="s">
        <v>72</v>
      </c>
      <c r="D279" s="16">
        <v>17838.72</v>
      </c>
      <c r="E279" s="16">
        <v>43337.43</v>
      </c>
      <c r="F279" s="16">
        <v>10506.48</v>
      </c>
      <c r="G279" s="17">
        <v>-0.58837614505520996</v>
      </c>
      <c r="H279" s="17">
        <v>0.69787788107910598</v>
      </c>
      <c r="J279" s="9"/>
    </row>
    <row r="280" spans="1:10" ht="16.5" customHeight="1">
      <c r="A280" s="9"/>
      <c r="C280" s="15" t="s">
        <v>75</v>
      </c>
      <c r="D280" s="16"/>
      <c r="E280" s="16"/>
      <c r="F280" s="16">
        <v>13675.2</v>
      </c>
      <c r="G280" s="17"/>
      <c r="H280" s="17">
        <v>-1</v>
      </c>
      <c r="J280" s="9"/>
    </row>
    <row r="281" spans="1:10" ht="16.5" customHeight="1">
      <c r="A281" s="9"/>
      <c r="C281" s="15" t="s">
        <v>76</v>
      </c>
      <c r="D281" s="16"/>
      <c r="E281" s="16">
        <v>2904573.24</v>
      </c>
      <c r="F281" s="16">
        <v>1502660.69</v>
      </c>
      <c r="G281" s="17">
        <v>-1</v>
      </c>
      <c r="H281" s="17">
        <v>-1</v>
      </c>
      <c r="J281" s="9"/>
    </row>
    <row r="282" spans="1:10" ht="16.5" customHeight="1">
      <c r="A282" s="9"/>
      <c r="C282" s="15" t="s">
        <v>77</v>
      </c>
      <c r="D282" s="16"/>
      <c r="E282" s="16">
        <v>20856.48</v>
      </c>
      <c r="F282" s="16"/>
      <c r="G282" s="17">
        <v>-1</v>
      </c>
      <c r="H282" s="17"/>
      <c r="J282" s="9"/>
    </row>
    <row r="283" spans="1:10" ht="16.5" customHeight="1">
      <c r="A283" s="9"/>
      <c r="C283" s="15" t="s">
        <v>78</v>
      </c>
      <c r="D283" s="16"/>
      <c r="E283" s="16"/>
      <c r="F283" s="16">
        <v>25895.06</v>
      </c>
      <c r="G283" s="17"/>
      <c r="H283" s="17">
        <v>-1</v>
      </c>
      <c r="J283" s="9"/>
    </row>
    <row r="284" spans="1:10" ht="16.5" customHeight="1">
      <c r="A284" s="9"/>
      <c r="C284" s="15" t="s">
        <v>79</v>
      </c>
      <c r="D284" s="16"/>
      <c r="E284" s="16"/>
      <c r="F284" s="16">
        <v>12212.16</v>
      </c>
      <c r="G284" s="17"/>
      <c r="H284" s="17">
        <v>-1</v>
      </c>
      <c r="J284" s="9"/>
    </row>
    <row r="285" spans="1:10" ht="16.5" customHeight="1">
      <c r="A285" s="9"/>
      <c r="C285" s="15" t="s">
        <v>80</v>
      </c>
      <c r="D285" s="16"/>
      <c r="E285" s="16"/>
      <c r="F285" s="16">
        <v>351573</v>
      </c>
      <c r="G285" s="17"/>
      <c r="H285" s="17">
        <v>-1</v>
      </c>
      <c r="J285" s="9"/>
    </row>
    <row r="286" spans="1:10" ht="16.5" customHeight="1">
      <c r="A286" s="9"/>
      <c r="C286" s="15" t="s">
        <v>81</v>
      </c>
      <c r="D286" s="16"/>
      <c r="E286" s="16"/>
      <c r="F286" s="16">
        <v>31358.19</v>
      </c>
      <c r="G286" s="17"/>
      <c r="H286" s="17">
        <v>-1</v>
      </c>
      <c r="J286" s="9"/>
    </row>
    <row r="287" spans="1:10" ht="16.5" customHeight="1">
      <c r="A287" s="9"/>
      <c r="C287" s="15" t="s">
        <v>82</v>
      </c>
      <c r="D287" s="16"/>
      <c r="E287" s="16"/>
      <c r="F287" s="16">
        <v>179411.05</v>
      </c>
      <c r="G287" s="17"/>
      <c r="H287" s="17">
        <v>-1</v>
      </c>
      <c r="J287" s="9"/>
    </row>
    <row r="288" spans="1:10" ht="16.5" customHeight="1">
      <c r="A288" s="9"/>
      <c r="C288" s="15" t="s">
        <v>83</v>
      </c>
      <c r="D288" s="16"/>
      <c r="E288" s="16"/>
      <c r="F288" s="16">
        <v>53824</v>
      </c>
      <c r="G288" s="17"/>
      <c r="H288" s="17">
        <v>-1</v>
      </c>
      <c r="J288" s="9"/>
    </row>
    <row r="289" spans="1:10" ht="16.5" customHeight="1">
      <c r="A289" s="9"/>
      <c r="C289" s="15" t="s">
        <v>84</v>
      </c>
      <c r="D289" s="16"/>
      <c r="E289" s="16"/>
      <c r="F289" s="16">
        <v>158259.85</v>
      </c>
      <c r="G289" s="17"/>
      <c r="H289" s="17">
        <v>-1</v>
      </c>
      <c r="J289" s="9"/>
    </row>
    <row r="290" spans="1:10" ht="16.5" customHeight="1">
      <c r="A290" s="9"/>
      <c r="C290" s="15" t="s">
        <v>85</v>
      </c>
      <c r="D290" s="16"/>
      <c r="E290" s="16">
        <v>263247.53999999998</v>
      </c>
      <c r="F290" s="16"/>
      <c r="G290" s="17">
        <v>-1</v>
      </c>
      <c r="H290" s="17"/>
      <c r="J290" s="9"/>
    </row>
    <row r="291" spans="1:10" ht="16.5" customHeight="1">
      <c r="A291" s="9"/>
      <c r="C291" s="15" t="s">
        <v>86</v>
      </c>
      <c r="D291" s="16"/>
      <c r="E291" s="16">
        <v>28842.720000000001</v>
      </c>
      <c r="F291" s="16">
        <v>26104.32</v>
      </c>
      <c r="G291" s="17">
        <v>-1</v>
      </c>
      <c r="H291" s="17">
        <v>-1</v>
      </c>
      <c r="J291" s="9"/>
    </row>
    <row r="292" spans="1:10" ht="16.5" customHeight="1">
      <c r="A292" s="9"/>
      <c r="C292" s="15" t="s">
        <v>87</v>
      </c>
      <c r="D292" s="16"/>
      <c r="E292" s="16">
        <v>29821.200000000001</v>
      </c>
      <c r="F292" s="16">
        <v>36448.199999999997</v>
      </c>
      <c r="G292" s="17">
        <v>-1</v>
      </c>
      <c r="H292" s="17">
        <v>-1</v>
      </c>
      <c r="J292" s="9"/>
    </row>
    <row r="293" spans="1:10" ht="16.5" customHeight="1">
      <c r="A293" s="9"/>
      <c r="C293" s="15" t="s">
        <v>88</v>
      </c>
      <c r="D293" s="16"/>
      <c r="E293" s="16"/>
      <c r="F293" s="16">
        <v>421930.08</v>
      </c>
      <c r="G293" s="17"/>
      <c r="H293" s="17">
        <v>-1</v>
      </c>
      <c r="J293" s="9"/>
    </row>
    <row r="294" spans="1:10" ht="16.5" customHeight="1">
      <c r="A294" s="9"/>
      <c r="C294" s="15" t="s">
        <v>89</v>
      </c>
      <c r="D294" s="16"/>
      <c r="E294" s="16">
        <v>97668</v>
      </c>
      <c r="F294" s="16"/>
      <c r="G294" s="17">
        <v>-1</v>
      </c>
      <c r="H294" s="17"/>
      <c r="J294" s="9"/>
    </row>
    <row r="295" spans="1:10" ht="16.5" customHeight="1">
      <c r="A295" s="9"/>
      <c r="C295" s="15" t="s">
        <v>90</v>
      </c>
      <c r="D295" s="16"/>
      <c r="E295" s="16"/>
      <c r="F295" s="16">
        <v>46667.28</v>
      </c>
      <c r="G295" s="17"/>
      <c r="H295" s="17">
        <v>-1</v>
      </c>
      <c r="J295" s="9"/>
    </row>
    <row r="296" spans="1:10" ht="16.5" customHeight="1">
      <c r="A296" s="9"/>
      <c r="C296" s="15" t="s">
        <v>91</v>
      </c>
      <c r="D296" s="16"/>
      <c r="E296" s="16">
        <v>94726.528000000006</v>
      </c>
      <c r="F296" s="16">
        <v>72455.679999999993</v>
      </c>
      <c r="G296" s="17">
        <v>-1</v>
      </c>
      <c r="H296" s="17">
        <v>-1</v>
      </c>
      <c r="J296" s="9"/>
    </row>
    <row r="297" spans="1:10" ht="16.5" customHeight="1">
      <c r="A297" s="9"/>
      <c r="C297" s="15" t="s">
        <v>92</v>
      </c>
      <c r="D297" s="16"/>
      <c r="E297" s="16">
        <v>15177.27</v>
      </c>
      <c r="F297" s="16"/>
      <c r="G297" s="17">
        <v>-1</v>
      </c>
      <c r="H297" s="17"/>
      <c r="J297" s="9"/>
    </row>
    <row r="298" spans="1:10" ht="16.5" customHeight="1">
      <c r="A298" s="9"/>
      <c r="C298" s="15" t="s">
        <v>93</v>
      </c>
      <c r="D298" s="16"/>
      <c r="E298" s="16">
        <v>60961.88</v>
      </c>
      <c r="F298" s="16"/>
      <c r="G298" s="17">
        <v>-1</v>
      </c>
      <c r="H298" s="17"/>
      <c r="J298" s="9"/>
    </row>
    <row r="299" spans="1:10" ht="16.5" customHeight="1">
      <c r="A299" s="9"/>
      <c r="C299" s="15" t="s">
        <v>94</v>
      </c>
      <c r="D299" s="16"/>
      <c r="E299" s="16"/>
      <c r="F299" s="16">
        <v>133331.1</v>
      </c>
      <c r="G299" s="17"/>
      <c r="H299" s="17">
        <v>-1</v>
      </c>
      <c r="J299" s="9"/>
    </row>
    <row r="300" spans="1:10" ht="16.5" customHeight="1">
      <c r="A300" s="9"/>
      <c r="C300" s="15" t="s">
        <v>95</v>
      </c>
      <c r="D300" s="16"/>
      <c r="E300" s="16">
        <v>225547.08</v>
      </c>
      <c r="F300" s="16">
        <v>160660.34</v>
      </c>
      <c r="G300" s="17">
        <v>-1</v>
      </c>
      <c r="H300" s="17">
        <v>-1</v>
      </c>
      <c r="J300" s="9"/>
    </row>
    <row r="301" spans="1:10" ht="16.5" customHeight="1">
      <c r="A301" s="9"/>
      <c r="C301" s="15" t="s">
        <v>96</v>
      </c>
      <c r="D301" s="16"/>
      <c r="E301" s="16">
        <v>1298210.6100000001</v>
      </c>
      <c r="F301" s="16">
        <v>814189.91</v>
      </c>
      <c r="G301" s="17">
        <v>-1</v>
      </c>
      <c r="H301" s="17">
        <v>-1</v>
      </c>
      <c r="J301" s="9"/>
    </row>
    <row r="302" spans="1:10" ht="16.5" customHeight="1">
      <c r="A302" s="9"/>
      <c r="C302" s="15" t="s">
        <v>97</v>
      </c>
      <c r="D302" s="16"/>
      <c r="E302" s="16">
        <v>241320.1</v>
      </c>
      <c r="F302" s="16">
        <v>1782788.57</v>
      </c>
      <c r="G302" s="17">
        <v>-1</v>
      </c>
      <c r="H302" s="17">
        <v>-1</v>
      </c>
      <c r="J302" s="9"/>
    </row>
    <row r="303" spans="1:10" ht="16.5" customHeight="1">
      <c r="A303" s="9"/>
      <c r="C303" s="15" t="s">
        <v>98</v>
      </c>
      <c r="D303" s="16"/>
      <c r="E303" s="16">
        <v>119613</v>
      </c>
      <c r="F303" s="16"/>
      <c r="G303" s="17">
        <v>-1</v>
      </c>
      <c r="H303" s="17"/>
      <c r="J303" s="9"/>
    </row>
    <row r="304" spans="1:10" ht="16.5" customHeight="1">
      <c r="A304" s="9"/>
      <c r="C304" s="15" t="s">
        <v>99</v>
      </c>
      <c r="D304" s="16"/>
      <c r="E304" s="16">
        <v>9292.7999999999993</v>
      </c>
      <c r="F304" s="16">
        <v>16774.79</v>
      </c>
      <c r="G304" s="17">
        <v>-1</v>
      </c>
      <c r="H304" s="17">
        <v>-1</v>
      </c>
      <c r="J304" s="9"/>
    </row>
    <row r="305" spans="1:10" ht="16.5" customHeight="1">
      <c r="A305" s="9"/>
      <c r="C305" s="2" t="s">
        <v>8</v>
      </c>
      <c r="D305" s="12">
        <f>SUBTOTAL(109,PaisReceitaMensal['[CY']])</f>
        <v>55795886.883700021</v>
      </c>
      <c r="E305" s="12">
        <f>SUBTOTAL(109,PaisReceitaMensal['[LY']])</f>
        <v>61258619.975499995</v>
      </c>
      <c r="F305" s="12">
        <f>SUBTOTAL(109,PaisReceitaMensal['[2YA']])</f>
        <v>52425681.519999988</v>
      </c>
      <c r="G305" s="8">
        <f>PaisReceitaMensal[[#Totals],['[CY']]]/PaisReceitaMensal[[#Totals],['[LY']]]-1</f>
        <v>-8.9174929079119947E-2</v>
      </c>
      <c r="H305" s="8">
        <f>PaisReceitaMensal[[#Totals],['[CY']]]/PaisReceitaMensal[[#Totals],['[2YA']]]-1</f>
        <v>6.4285389640844626E-2</v>
      </c>
      <c r="J305" s="9"/>
    </row>
    <row r="306" spans="1:10" ht="16.5" customHeight="1">
      <c r="A306" s="9"/>
      <c r="C306" s="7" t="s">
        <v>9</v>
      </c>
      <c r="J306" s="9"/>
    </row>
    <row r="307" spans="1:10" ht="16.5" customHeight="1">
      <c r="A307" s="9"/>
      <c r="J307" s="9"/>
    </row>
    <row r="308" spans="1:10" ht="16.5" customHeight="1">
      <c r="A308" s="9"/>
      <c r="C308" s="1" t="str" cm="1">
        <f t="array" ref="C308:H317">_xlfn._xlws.SORT(_xlfn._xlws.FILTER(PaisReceitaMensal[],PaisReceitaMensal['[CY']]&gt;=LARGE(PaisReceitaMensal['[CY']],10)),2,1)</f>
        <v>Emirados Árabes Unidos</v>
      </c>
      <c r="D308" s="1">
        <v>1736245.4452</v>
      </c>
      <c r="E308" s="1">
        <v>686182.95799999998</v>
      </c>
      <c r="F308" s="1">
        <v>266816.99</v>
      </c>
      <c r="G308" s="1">
        <v>1.5302952003654999</v>
      </c>
      <c r="H308" s="1">
        <v>5.5072522000941504</v>
      </c>
      <c r="J308" s="9"/>
    </row>
    <row r="309" spans="1:10" ht="16.5" customHeight="1">
      <c r="A309" s="9"/>
      <c r="C309" s="1" t="str">
        <v>Canadá</v>
      </c>
      <c r="D309" s="1">
        <v>1932368.5556999999</v>
      </c>
      <c r="E309" s="1">
        <v>2348431.7703999998</v>
      </c>
      <c r="F309" s="1">
        <v>4263212.8</v>
      </c>
      <c r="G309" s="1">
        <v>-0.17716640523438901</v>
      </c>
      <c r="H309" s="1">
        <v>-0.54673420109359805</v>
      </c>
      <c r="J309" s="9"/>
    </row>
    <row r="310" spans="1:10" ht="16.5" customHeight="1">
      <c r="A310" s="9"/>
      <c r="C310" s="1" t="str">
        <v>Peru</v>
      </c>
      <c r="D310" s="1">
        <v>1953665.6</v>
      </c>
      <c r="E310" s="1">
        <v>1470151.01</v>
      </c>
      <c r="F310" s="1">
        <v>981645.78</v>
      </c>
      <c r="G310" s="1">
        <v>0.32888770385567401</v>
      </c>
      <c r="H310" s="1">
        <v>0.99019405961282603</v>
      </c>
      <c r="J310" s="9"/>
    </row>
    <row r="311" spans="1:10" ht="16.5" customHeight="1">
      <c r="A311" s="9"/>
      <c r="C311" s="1" t="str">
        <v>Rússia</v>
      </c>
      <c r="D311" s="1">
        <v>2319977.4300000002</v>
      </c>
      <c r="E311" s="1">
        <v>923174</v>
      </c>
      <c r="F311" s="1">
        <v>4556785.3</v>
      </c>
      <c r="G311" s="1">
        <v>1.51304459397687</v>
      </c>
      <c r="H311" s="1">
        <v>-0.490874097140368</v>
      </c>
      <c r="J311" s="9"/>
    </row>
    <row r="312" spans="1:10" ht="16.5" customHeight="1">
      <c r="A312" s="9"/>
      <c r="C312" s="1" t="str">
        <v>Alemanha</v>
      </c>
      <c r="D312" s="1">
        <v>2584321.61</v>
      </c>
      <c r="E312" s="1">
        <v>1127929.3999999999</v>
      </c>
      <c r="F312" s="1">
        <v>949212.58</v>
      </c>
      <c r="G312" s="1">
        <v>1.2912086607548301</v>
      </c>
      <c r="H312" s="1">
        <v>1.72259519569368</v>
      </c>
      <c r="J312" s="9"/>
    </row>
    <row r="313" spans="1:10" ht="16.5" customHeight="1">
      <c r="A313" s="9"/>
      <c r="C313" s="1" t="str">
        <v>Países Baixos (Holanda)</v>
      </c>
      <c r="D313" s="1">
        <v>2602393.75</v>
      </c>
      <c r="E313" s="1">
        <v>1009900.72</v>
      </c>
      <c r="F313" s="1">
        <v>1512916.2</v>
      </c>
      <c r="G313" s="1">
        <v>1.5768807749736</v>
      </c>
      <c r="H313" s="1">
        <v>0.72011757822409495</v>
      </c>
      <c r="J313" s="9"/>
    </row>
    <row r="314" spans="1:10" ht="16.5" customHeight="1">
      <c r="A314" s="9"/>
      <c r="C314" s="1" t="str">
        <v>Chile</v>
      </c>
      <c r="D314" s="1">
        <v>2679540.73</v>
      </c>
      <c r="E314" s="1">
        <v>432144.96</v>
      </c>
      <c r="F314" s="1">
        <v>1674482.6</v>
      </c>
      <c r="G314" s="1">
        <v>5.2005599463661403</v>
      </c>
      <c r="H314" s="1">
        <v>0.60022010978197105</v>
      </c>
      <c r="J314" s="9"/>
    </row>
    <row r="315" spans="1:10" ht="16.5" customHeight="1">
      <c r="A315" s="9"/>
      <c r="C315" s="1" t="str">
        <v>Japão</v>
      </c>
      <c r="D315" s="1">
        <v>3392038.59</v>
      </c>
      <c r="E315" s="1">
        <v>2911806.25</v>
      </c>
      <c r="F315" s="1">
        <v>3373634.74</v>
      </c>
      <c r="G315" s="1">
        <v>0.16492592527404601</v>
      </c>
      <c r="H315" s="1">
        <v>5.4551993379103898E-3</v>
      </c>
      <c r="J315" s="9"/>
    </row>
    <row r="316" spans="1:10" ht="16.5" customHeight="1">
      <c r="A316" s="9"/>
      <c r="C316" s="1" t="str">
        <v>Polônia</v>
      </c>
      <c r="D316" s="1">
        <v>3981090.69</v>
      </c>
      <c r="E316" s="1">
        <v>2026808.62</v>
      </c>
      <c r="F316" s="1">
        <v>1384681.11</v>
      </c>
      <c r="G316" s="1">
        <v>0.96421637973890195</v>
      </c>
      <c r="H316" s="1">
        <v>1.8750956889994701</v>
      </c>
      <c r="J316" s="9"/>
    </row>
    <row r="317" spans="1:10" ht="16.5" customHeight="1">
      <c r="A317" s="9"/>
      <c r="C317" s="1" t="str">
        <v>Estados Unidos</v>
      </c>
      <c r="D317" s="1">
        <v>11728159.369999999</v>
      </c>
      <c r="E317" s="1">
        <v>18107292.219999999</v>
      </c>
      <c r="F317" s="1">
        <v>10746703.85</v>
      </c>
      <c r="G317" s="1">
        <v>-0.35229634406375099</v>
      </c>
      <c r="H317" s="1">
        <v>9.1326190215989006E-2</v>
      </c>
      <c r="J317" s="9"/>
    </row>
    <row r="318" spans="1:10" ht="16.5" customHeight="1">
      <c r="A318" s="9"/>
      <c r="J318" s="9"/>
    </row>
    <row r="319" spans="1:10" ht="16.5" customHeight="1">
      <c r="A319" s="9"/>
      <c r="J319" s="9"/>
    </row>
    <row r="320" spans="1:10" ht="16.5" customHeight="1">
      <c r="A320" s="9"/>
      <c r="J320" s="9"/>
    </row>
    <row r="321" spans="1:10" ht="16.5" customHeight="1">
      <c r="A321" s="9"/>
      <c r="J321" s="9"/>
    </row>
    <row r="322" spans="1:10" ht="16.5" customHeight="1">
      <c r="A322" s="9"/>
      <c r="J322" s="9"/>
    </row>
    <row r="323" spans="1:10" ht="16.5" customHeight="1">
      <c r="A323" s="9"/>
      <c r="J323" s="9"/>
    </row>
    <row r="324" spans="1:10" ht="16.5" customHeight="1">
      <c r="A324" s="9"/>
      <c r="J324" s="9"/>
    </row>
    <row r="325" spans="1:10" ht="16.5" customHeight="1">
      <c r="A325" s="9"/>
      <c r="J325" s="9"/>
    </row>
    <row r="326" spans="1:10" ht="16.5" customHeight="1">
      <c r="A326" s="9"/>
      <c r="J326" s="9"/>
    </row>
    <row r="327" spans="1:10" ht="16.5" customHeight="1">
      <c r="A327" s="9"/>
      <c r="J327" s="9"/>
    </row>
    <row r="328" spans="1:10" ht="16.5" customHeight="1">
      <c r="A328" s="9"/>
      <c r="J328" s="9"/>
    </row>
    <row r="329" spans="1:10" ht="16.5" customHeight="1">
      <c r="A329" s="9"/>
      <c r="J329" s="9"/>
    </row>
    <row r="330" spans="1:10" ht="16.5" customHeight="1">
      <c r="A330" s="9"/>
      <c r="J330" s="9"/>
    </row>
    <row r="331" spans="1:10" ht="16.5" customHeight="1">
      <c r="A331" s="9"/>
      <c r="J331" s="9"/>
    </row>
    <row r="332" spans="1:10" ht="16.5" customHeight="1">
      <c r="A332" s="9"/>
      <c r="J332" s="9"/>
    </row>
    <row r="333" spans="1:10" ht="16.5" customHeight="1">
      <c r="A333" s="9"/>
      <c r="J333" s="9"/>
    </row>
    <row r="334" spans="1:10" ht="16.5" customHeight="1">
      <c r="A334" s="9"/>
      <c r="J334" s="9"/>
    </row>
    <row r="335" spans="1:10" ht="16.5" customHeight="1">
      <c r="A335" s="9"/>
      <c r="J335" s="9"/>
    </row>
    <row r="336" spans="1:10" ht="16.5" customHeight="1">
      <c r="A336" s="9"/>
      <c r="J336" s="9"/>
    </row>
    <row r="337" spans="1:10" ht="16.5" customHeight="1">
      <c r="A337" s="9"/>
      <c r="J337" s="9"/>
    </row>
    <row r="338" spans="1:10" ht="16.5" customHeight="1">
      <c r="A338" s="9"/>
      <c r="J338" s="9"/>
    </row>
    <row r="339" spans="1:10" ht="16.5" customHeight="1">
      <c r="A339" s="9"/>
      <c r="J339" s="9"/>
    </row>
    <row r="340" spans="1:10" ht="16.5" customHeight="1">
      <c r="A340" s="9"/>
      <c r="J340" s="9"/>
    </row>
    <row r="341" spans="1:10" ht="16.5" customHeight="1">
      <c r="A341" s="9"/>
      <c r="J341" s="9"/>
    </row>
    <row r="342" spans="1:10" ht="16.5" customHeight="1">
      <c r="A342" s="9"/>
      <c r="J342" s="9"/>
    </row>
    <row r="343" spans="1:10" ht="16.5" customHeight="1">
      <c r="A343" s="9"/>
      <c r="J343" s="9"/>
    </row>
    <row r="344" spans="1:10" ht="16.5" customHeight="1">
      <c r="A344" s="9"/>
      <c r="J344" s="9"/>
    </row>
    <row r="345" spans="1:10" ht="16.5" customHeight="1">
      <c r="A345" s="9"/>
      <c r="J345" s="9"/>
    </row>
    <row r="346" spans="1:10" ht="16.5" customHeight="1">
      <c r="A346" s="9"/>
      <c r="J346" s="9"/>
    </row>
    <row r="347" spans="1:10" ht="16.5" customHeight="1">
      <c r="A347" s="9"/>
      <c r="J347" s="9"/>
    </row>
    <row r="348" spans="1:10" ht="16.5" customHeight="1">
      <c r="A348" s="9"/>
      <c r="J348" s="9"/>
    </row>
    <row r="349" spans="1:10" ht="16.5" customHeight="1">
      <c r="A349" s="9"/>
      <c r="J349" s="9"/>
    </row>
    <row r="350" spans="1:10" ht="16.5" customHeight="1">
      <c r="A350" s="9"/>
      <c r="J350" s="9"/>
    </row>
    <row r="351" spans="1:10" ht="16.5" customHeight="1">
      <c r="A351" s="9"/>
      <c r="J351" s="9"/>
    </row>
    <row r="352" spans="1:10" ht="16.5" customHeight="1">
      <c r="A352" s="9"/>
      <c r="J352" s="9"/>
    </row>
    <row r="353" spans="1:10" ht="16.5" customHeight="1">
      <c r="A353" s="9"/>
      <c r="J353" s="9"/>
    </row>
    <row r="354" spans="1:10" ht="16.5" customHeight="1">
      <c r="A354" s="9"/>
      <c r="J354" s="9"/>
    </row>
    <row r="355" spans="1:10" ht="16.5" customHeight="1">
      <c r="A355" s="9"/>
      <c r="J355" s="9"/>
    </row>
    <row r="356" spans="1:10" ht="16.5" customHeight="1">
      <c r="A356" s="9"/>
      <c r="J356" s="9"/>
    </row>
    <row r="357" spans="1:10" ht="16.5" customHeight="1">
      <c r="A357" s="9"/>
      <c r="J357" s="9"/>
    </row>
    <row r="358" spans="1:10" ht="16.5" customHeight="1">
      <c r="A358" s="9"/>
      <c r="J358" s="9"/>
    </row>
    <row r="359" spans="1:10" ht="16.5" customHeight="1">
      <c r="A359" s="9"/>
      <c r="J359" s="9"/>
    </row>
    <row r="360" spans="1:10" ht="16.5" customHeight="1">
      <c r="A360" s="9"/>
      <c r="J360" s="9"/>
    </row>
    <row r="361" spans="1:10" ht="16.5" customHeight="1">
      <c r="A361" s="9"/>
      <c r="J361" s="9"/>
    </row>
    <row r="362" spans="1:10" ht="16.5" customHeight="1">
      <c r="A362" s="9"/>
      <c r="J362" s="9"/>
    </row>
    <row r="363" spans="1:10" ht="16.5" customHeight="1">
      <c r="A363" s="9"/>
      <c r="J363" s="9"/>
    </row>
    <row r="364" spans="1:10" ht="16.5" customHeight="1">
      <c r="A364" s="9"/>
      <c r="J364" s="9"/>
    </row>
    <row r="365" spans="1:10" ht="16.5" customHeight="1">
      <c r="A365" s="9"/>
      <c r="J365" s="9"/>
    </row>
    <row r="366" spans="1:10" ht="16.5" customHeight="1">
      <c r="A366" s="9"/>
      <c r="J366" s="9"/>
    </row>
    <row r="367" spans="1:10" ht="16.5" customHeight="1">
      <c r="A367" s="9"/>
      <c r="J367" s="9"/>
    </row>
    <row r="368" spans="1:10" ht="16.5" customHeight="1">
      <c r="A368" s="9"/>
      <c r="J368" s="9"/>
    </row>
    <row r="369" spans="1:10" ht="16.5" customHeight="1">
      <c r="A369" s="9"/>
      <c r="J369" s="9"/>
    </row>
    <row r="370" spans="1:10" ht="16.5" customHeight="1">
      <c r="A370" s="9"/>
      <c r="J370" s="9"/>
    </row>
    <row r="371" spans="1:10" ht="16.5" customHeight="1">
      <c r="A371" s="9"/>
      <c r="J371" s="9"/>
    </row>
    <row r="372" spans="1:10" ht="16.5" customHeight="1">
      <c r="A372" s="9"/>
      <c r="J372" s="9"/>
    </row>
    <row r="373" spans="1:10" ht="16.5" customHeight="1">
      <c r="A373" s="9"/>
      <c r="J373" s="9"/>
    </row>
    <row r="374" spans="1:10" ht="16.5" customHeight="1">
      <c r="A374" s="9"/>
      <c r="J374" s="9"/>
    </row>
    <row r="375" spans="1:10" ht="16.5" customHeight="1">
      <c r="A375" s="9"/>
      <c r="J375" s="9"/>
    </row>
    <row r="376" spans="1:10" ht="16.5" customHeight="1">
      <c r="A376" s="9"/>
      <c r="J376" s="9"/>
    </row>
    <row r="377" spans="1:10" ht="16.5" customHeight="1">
      <c r="A377" s="9"/>
      <c r="J377" s="9"/>
    </row>
    <row r="378" spans="1:10" ht="16.5" customHeight="1">
      <c r="A378" s="9"/>
      <c r="J378" s="9"/>
    </row>
    <row r="379" spans="1:10" ht="16.5" customHeight="1">
      <c r="A379" s="9"/>
      <c r="J379" s="9"/>
    </row>
    <row r="380" spans="1:10" ht="16.5" customHeight="1">
      <c r="A380" s="9"/>
      <c r="J380" s="9"/>
    </row>
    <row r="381" spans="1:10" ht="16.5" customHeight="1">
      <c r="A381" s="9"/>
      <c r="J381" s="9"/>
    </row>
    <row r="382" spans="1:10" ht="16.5" customHeight="1">
      <c r="A382" s="9"/>
      <c r="J382" s="9"/>
    </row>
    <row r="383" spans="1:10" ht="16.5" customHeight="1">
      <c r="A383" s="9"/>
      <c r="J383" s="9"/>
    </row>
    <row r="384" spans="1:10" ht="16.5" customHeight="1">
      <c r="A384" s="9"/>
      <c r="J384" s="9"/>
    </row>
    <row r="385" spans="1:10" ht="16.5" customHeight="1">
      <c r="A385" s="9"/>
      <c r="J385" s="9"/>
    </row>
    <row r="386" spans="1:10" ht="16.5" customHeight="1">
      <c r="A386" s="9"/>
      <c r="J386" s="9"/>
    </row>
    <row r="387" spans="1:10" ht="16.5" customHeight="1">
      <c r="A387" s="9"/>
      <c r="J387" s="9"/>
    </row>
    <row r="388" spans="1:10" ht="16.5" customHeight="1">
      <c r="A388" s="9"/>
      <c r="J388" s="9"/>
    </row>
    <row r="389" spans="1:10" ht="16.5" customHeight="1">
      <c r="A389" s="9"/>
      <c r="J389" s="9"/>
    </row>
    <row r="390" spans="1:10" ht="16.5" customHeight="1">
      <c r="A390" s="9"/>
      <c r="J390" s="9"/>
    </row>
    <row r="391" spans="1:10" ht="16.5" customHeight="1">
      <c r="A391" s="9"/>
      <c r="J391" s="9"/>
    </row>
    <row r="392" spans="1:10" ht="16.5" customHeight="1">
      <c r="A392" s="9"/>
      <c r="J392" s="9"/>
    </row>
    <row r="393" spans="1:10" ht="16.5" customHeight="1">
      <c r="A393" s="9"/>
      <c r="J393" s="9"/>
    </row>
    <row r="394" spans="1:10" ht="16.5" customHeight="1">
      <c r="A394" s="9"/>
      <c r="J394" s="9"/>
    </row>
    <row r="395" spans="1:10" ht="16.5" customHeight="1">
      <c r="A395" s="9"/>
      <c r="J395" s="9"/>
    </row>
    <row r="396" spans="1:10" ht="16.5" customHeight="1">
      <c r="A396" s="9"/>
      <c r="J396" s="9"/>
    </row>
    <row r="397" spans="1:10" ht="16.5" customHeight="1">
      <c r="A397" s="9"/>
      <c r="J397" s="9"/>
    </row>
    <row r="398" spans="1:10" ht="16.5" customHeight="1">
      <c r="A398" s="9"/>
      <c r="J398" s="9"/>
    </row>
    <row r="399" spans="1:10" ht="16.5" customHeight="1">
      <c r="A399" s="9"/>
      <c r="J399" s="9"/>
    </row>
    <row r="400" spans="1:10" ht="16.5" customHeight="1">
      <c r="A400" s="9"/>
      <c r="J400" s="9"/>
    </row>
    <row r="401" spans="1:10" ht="16.5" customHeight="1">
      <c r="A401" s="9"/>
      <c r="J401" s="9"/>
    </row>
    <row r="402" spans="1:10" ht="16.5" customHeight="1">
      <c r="A402" s="9"/>
      <c r="J402" s="9"/>
    </row>
    <row r="403" spans="1:10" ht="16.5" customHeight="1">
      <c r="A403" s="9"/>
      <c r="J403" s="9"/>
    </row>
    <row r="404" spans="1:10" ht="16.5" customHeight="1">
      <c r="A404" s="9"/>
      <c r="J404" s="9"/>
    </row>
    <row r="405" spans="1:10" ht="16.5" customHeight="1">
      <c r="A405" s="9"/>
      <c r="J405" s="9"/>
    </row>
    <row r="406" spans="1:10" ht="16.5" customHeight="1">
      <c r="A406" s="9"/>
      <c r="J406" s="9"/>
    </row>
    <row r="407" spans="1:10" ht="16.5" customHeight="1">
      <c r="A407" s="9"/>
      <c r="J407" s="9"/>
    </row>
    <row r="408" spans="1:10" ht="16.5" customHeight="1">
      <c r="A408" s="9"/>
      <c r="J408" s="9"/>
    </row>
    <row r="409" spans="1:10" ht="16.5" customHeight="1">
      <c r="A409" s="9"/>
      <c r="J409" s="9"/>
    </row>
    <row r="410" spans="1:10" ht="16.5" customHeight="1">
      <c r="A410" s="9"/>
      <c r="J410" s="9"/>
    </row>
    <row r="411" spans="1:10" ht="16.5" customHeight="1">
      <c r="A411" s="9"/>
      <c r="J411" s="9"/>
    </row>
    <row r="412" spans="1:10" ht="16.5" customHeight="1">
      <c r="A412" s="9"/>
      <c r="J412" s="9"/>
    </row>
    <row r="413" spans="1:10" ht="16.5" customHeight="1">
      <c r="A413" s="9"/>
      <c r="J413" s="9"/>
    </row>
    <row r="414" spans="1:10" ht="16.5" customHeight="1">
      <c r="A414" s="9"/>
      <c r="J414" s="9"/>
    </row>
    <row r="415" spans="1:10" ht="16.5" customHeight="1">
      <c r="A415" s="9"/>
      <c r="J415" s="9"/>
    </row>
    <row r="416" spans="1:10" ht="16.5" customHeight="1">
      <c r="A416" s="9"/>
      <c r="J416" s="9"/>
    </row>
    <row r="417" spans="1:10" ht="16.5" customHeight="1">
      <c r="A417" s="9"/>
      <c r="J417" s="9"/>
    </row>
    <row r="418" spans="1:10" ht="16.5" customHeight="1">
      <c r="A418" s="9"/>
      <c r="J418" s="9"/>
    </row>
    <row r="419" spans="1:10" ht="16.5" customHeight="1">
      <c r="A419" s="9"/>
      <c r="J419" s="9"/>
    </row>
    <row r="420" spans="1:10" ht="16.5" customHeight="1">
      <c r="A420" s="9"/>
      <c r="J420" s="9"/>
    </row>
    <row r="421" spans="1:10" ht="16.5" customHeight="1">
      <c r="A421" s="9"/>
      <c r="J421" s="9"/>
    </row>
    <row r="422" spans="1:10" ht="16.5" customHeight="1">
      <c r="A422" s="9"/>
      <c r="J422" s="9"/>
    </row>
    <row r="423" spans="1:10" ht="16.5" customHeight="1">
      <c r="A423" s="9"/>
      <c r="J423" s="9"/>
    </row>
    <row r="424" spans="1:10" ht="16.5" customHeight="1">
      <c r="A424" s="9"/>
      <c r="J424" s="9"/>
    </row>
    <row r="425" spans="1:10" ht="16.5" customHeight="1">
      <c r="A425" s="9"/>
      <c r="J425" s="9"/>
    </row>
    <row r="426" spans="1:10" ht="16.5" customHeight="1">
      <c r="A426" s="9"/>
      <c r="J426" s="9"/>
    </row>
    <row r="427" spans="1:10" ht="16.5" customHeight="1">
      <c r="A427" s="9"/>
      <c r="J427" s="9"/>
    </row>
    <row r="428" spans="1:10" ht="16.5" customHeight="1">
      <c r="A428" s="9"/>
      <c r="J428" s="9"/>
    </row>
    <row r="429" spans="1:10" ht="16.5" customHeight="1">
      <c r="A429" s="9"/>
      <c r="J429" s="9"/>
    </row>
    <row r="430" spans="1:10" ht="16.5" customHeight="1">
      <c r="A430" s="9"/>
      <c r="J430" s="9"/>
    </row>
    <row r="431" spans="1:10" ht="16.5" customHeight="1">
      <c r="A431" s="9"/>
      <c r="J431" s="9"/>
    </row>
    <row r="432" spans="1:10" ht="16.5" customHeight="1">
      <c r="A432" s="9"/>
      <c r="J432" s="9"/>
    </row>
    <row r="433" spans="1:10" ht="16.5" customHeight="1">
      <c r="A433" s="9"/>
      <c r="J433" s="9"/>
    </row>
    <row r="434" spans="1:10" ht="16.5" customHeight="1">
      <c r="A434" s="9"/>
      <c r="J434" s="9"/>
    </row>
    <row r="435" spans="1:10" ht="16.5" customHeight="1">
      <c r="A435" s="9"/>
      <c r="J435" s="9"/>
    </row>
    <row r="436" spans="1:10" ht="16.5" customHeight="1">
      <c r="A436" s="9"/>
      <c r="J436" s="9"/>
    </row>
    <row r="437" spans="1:10" ht="16.5" customHeight="1">
      <c r="A437" s="9"/>
      <c r="J437" s="9"/>
    </row>
    <row r="438" spans="1:10" ht="16.5" customHeight="1">
      <c r="A438" s="9"/>
      <c r="J438" s="9"/>
    </row>
    <row r="439" spans="1:10" ht="16.5" customHeight="1">
      <c r="A439" s="9"/>
      <c r="J439" s="9"/>
    </row>
    <row r="440" spans="1:10" ht="16.5" customHeight="1">
      <c r="A440" s="9"/>
      <c r="J440" s="9"/>
    </row>
    <row r="441" spans="1:10" ht="16.5" customHeight="1">
      <c r="A441" s="9"/>
      <c r="J441" s="9"/>
    </row>
    <row r="442" spans="1:10" ht="16.5" customHeight="1">
      <c r="A442" s="9"/>
      <c r="J442" s="9"/>
    </row>
    <row r="443" spans="1:10" ht="16.5" customHeight="1">
      <c r="A443" s="9"/>
      <c r="J443" s="9"/>
    </row>
    <row r="444" spans="1:10" ht="16.5" customHeight="1">
      <c r="A444" s="9"/>
      <c r="J444" s="9"/>
    </row>
    <row r="445" spans="1:10" ht="16.5" customHeight="1">
      <c r="A445" s="9"/>
      <c r="J445" s="9"/>
    </row>
    <row r="446" spans="1:10" ht="16.5" customHeight="1">
      <c r="A446" s="9"/>
      <c r="J446" s="9"/>
    </row>
    <row r="447" spans="1:10" ht="16.5" customHeight="1">
      <c r="A447" s="9"/>
      <c r="J447" s="9"/>
    </row>
    <row r="448" spans="1:10" ht="16.5" customHeight="1">
      <c r="A448" s="9"/>
      <c r="J448" s="9"/>
    </row>
    <row r="449" spans="1:10" ht="16.5" customHeight="1">
      <c r="A449" s="9"/>
      <c r="J449" s="9"/>
    </row>
    <row r="450" spans="1:10" ht="16.5" customHeight="1">
      <c r="A450" s="9"/>
      <c r="J450" s="9"/>
    </row>
    <row r="451" spans="1:10" ht="16.5" customHeight="1">
      <c r="A451" s="9"/>
      <c r="J451" s="9"/>
    </row>
    <row r="452" spans="1:10" ht="16.5" customHeight="1">
      <c r="A452" s="9"/>
      <c r="J452" s="9"/>
    </row>
    <row r="453" spans="1:10" ht="16.5" customHeight="1">
      <c r="A453" s="9"/>
      <c r="J453" s="9"/>
    </row>
    <row r="454" spans="1:10" ht="16.5" customHeight="1">
      <c r="A454" s="9"/>
      <c r="J454" s="9"/>
    </row>
    <row r="455" spans="1:10" ht="16.5" customHeight="1">
      <c r="A455" s="9"/>
      <c r="J455" s="9"/>
    </row>
    <row r="456" spans="1:10" ht="16.5" customHeight="1">
      <c r="A456" s="9"/>
      <c r="J456" s="9"/>
    </row>
    <row r="457" spans="1:10" ht="16.5" customHeight="1">
      <c r="A457" s="9"/>
      <c r="J457" s="9"/>
    </row>
    <row r="458" spans="1:10" ht="16.5" customHeight="1">
      <c r="A458" s="9"/>
      <c r="J458" s="9"/>
    </row>
    <row r="459" spans="1:10" ht="16.5" customHeight="1">
      <c r="A459" s="9"/>
      <c r="J459" s="9"/>
    </row>
    <row r="460" spans="1:10" ht="16.5" customHeight="1">
      <c r="A460" s="9"/>
      <c r="J460" s="9"/>
    </row>
    <row r="461" spans="1:10" ht="16.5" customHeight="1">
      <c r="A461" s="9"/>
      <c r="J461" s="9"/>
    </row>
    <row r="462" spans="1:10" ht="16.5" customHeight="1">
      <c r="A462" s="9"/>
      <c r="J462" s="9"/>
    </row>
    <row r="463" spans="1:10" ht="16.5" customHeight="1">
      <c r="A463" s="9"/>
      <c r="J463" s="9"/>
    </row>
    <row r="464" spans="1:10" ht="16.5" customHeight="1">
      <c r="A464" s="9"/>
      <c r="J464" s="9"/>
    </row>
    <row r="465" spans="1:10" ht="16.5" customHeight="1">
      <c r="A465" s="9"/>
      <c r="J465" s="9"/>
    </row>
    <row r="466" spans="1:10" ht="16.5" customHeight="1">
      <c r="A466" s="9"/>
      <c r="J466" s="9"/>
    </row>
    <row r="467" spans="1:10" ht="16.5" customHeight="1">
      <c r="A467" s="9"/>
      <c r="J467" s="9"/>
    </row>
    <row r="468" spans="1:10" ht="16.5" customHeight="1">
      <c r="A468" s="9"/>
      <c r="J468" s="9"/>
    </row>
    <row r="469" spans="1:10" ht="16.5" customHeight="1">
      <c r="A469" s="9"/>
      <c r="J469" s="9"/>
    </row>
    <row r="470" spans="1:10" ht="16.5" customHeight="1">
      <c r="A470" s="9"/>
      <c r="J470" s="9"/>
    </row>
    <row r="471" spans="1:10" ht="16.5" customHeight="1">
      <c r="A471" s="9"/>
      <c r="J471" s="9"/>
    </row>
    <row r="472" spans="1:10" ht="16.5" customHeight="1">
      <c r="A472" s="9"/>
      <c r="J472" s="9"/>
    </row>
    <row r="473" spans="1:10" ht="16.5" customHeight="1">
      <c r="A473" s="9"/>
      <c r="J473" s="9"/>
    </row>
    <row r="474" spans="1:10" ht="16.5" customHeight="1">
      <c r="A474" s="9"/>
      <c r="J474" s="9"/>
    </row>
    <row r="475" spans="1:10" ht="16.5" customHeight="1">
      <c r="A475" s="9"/>
      <c r="J475" s="9"/>
    </row>
    <row r="476" spans="1:10" ht="16.5" customHeight="1">
      <c r="A476" s="9"/>
      <c r="J476" s="9"/>
    </row>
    <row r="477" spans="1:10" ht="16.5" customHeight="1">
      <c r="A477" s="9"/>
      <c r="J477" s="9"/>
    </row>
    <row r="478" spans="1:10" ht="16.5" customHeight="1">
      <c r="A478" s="9"/>
      <c r="J478" s="9"/>
    </row>
    <row r="479" spans="1:10" ht="16.5" customHeight="1">
      <c r="A479" s="9"/>
      <c r="J479" s="9"/>
    </row>
    <row r="480" spans="1:10" ht="16.5" customHeight="1">
      <c r="A480" s="9"/>
      <c r="J480" s="9"/>
    </row>
    <row r="481" spans="1:10" ht="16.5" customHeight="1">
      <c r="A481" s="9"/>
      <c r="J481" s="9"/>
    </row>
    <row r="482" spans="1:10" ht="16.5" customHeight="1">
      <c r="A482" s="9"/>
      <c r="J482" s="9"/>
    </row>
    <row r="483" spans="1:10" ht="16.5" customHeight="1">
      <c r="A483" s="9"/>
      <c r="J483" s="9"/>
    </row>
    <row r="484" spans="1:10" ht="16.5" customHeight="1">
      <c r="A484" s="9"/>
      <c r="J484" s="9"/>
    </row>
    <row r="485" spans="1:10" ht="16.5" customHeight="1">
      <c r="A485" s="9"/>
      <c r="J485" s="9"/>
    </row>
    <row r="486" spans="1:10" ht="16.5" customHeight="1">
      <c r="A486" s="9"/>
      <c r="J486" s="9"/>
    </row>
    <row r="487" spans="1:10" ht="16.5" customHeight="1">
      <c r="A487" s="9"/>
      <c r="J487" s="9"/>
    </row>
    <row r="488" spans="1:10" ht="16.5" customHeight="1">
      <c r="A488" s="9"/>
      <c r="J488" s="9"/>
    </row>
    <row r="489" spans="1:10" ht="16.5" customHeight="1">
      <c r="A489" s="9"/>
      <c r="J489" s="9"/>
    </row>
    <row r="490" spans="1:10" ht="16.5" customHeight="1">
      <c r="A490" s="9"/>
      <c r="J490" s="9"/>
    </row>
    <row r="491" spans="1:10" ht="16.5" customHeight="1">
      <c r="A491" s="9"/>
      <c r="J491" s="9"/>
    </row>
    <row r="492" spans="1:10" ht="16.5" customHeight="1">
      <c r="A492" s="9"/>
      <c r="J492" s="9"/>
    </row>
    <row r="493" spans="1:10" ht="16.5" customHeight="1">
      <c r="A493" s="9"/>
      <c r="J493" s="9"/>
    </row>
    <row r="494" spans="1:10" ht="16.5" customHeight="1">
      <c r="A494" s="9"/>
      <c r="J494" s="9"/>
    </row>
    <row r="495" spans="1:10" ht="16.5" customHeight="1">
      <c r="A495" s="9"/>
      <c r="J495" s="9"/>
    </row>
    <row r="496" spans="1:10" ht="16.5" customHeight="1">
      <c r="A496" s="9"/>
      <c r="J496" s="9"/>
    </row>
    <row r="497" spans="1:10" ht="16.5" customHeight="1">
      <c r="A497" s="9"/>
      <c r="J497" s="9"/>
    </row>
    <row r="498" spans="1:10" ht="16.5" customHeight="1">
      <c r="A498" s="9"/>
      <c r="J498" s="9"/>
    </row>
    <row r="499" spans="1:10" ht="16.5" customHeight="1">
      <c r="A499" s="9"/>
      <c r="J499" s="9"/>
    </row>
    <row r="500" spans="1:10" ht="16.5" customHeight="1">
      <c r="A500" s="9"/>
      <c r="J500" s="9"/>
    </row>
    <row r="501" spans="1:10" ht="16.5" customHeight="1">
      <c r="A501" s="9"/>
      <c r="J501" s="9"/>
    </row>
    <row r="502" spans="1:10" ht="16.5" customHeight="1">
      <c r="A502" s="9"/>
      <c r="J502" s="9"/>
    </row>
    <row r="503" spans="1:10" ht="16.5" customHeight="1">
      <c r="A503" s="9"/>
      <c r="J503" s="9"/>
    </row>
    <row r="504" spans="1:10" ht="16.5" customHeight="1">
      <c r="A504" s="9"/>
      <c r="J504" s="9"/>
    </row>
    <row r="505" spans="1:10" ht="16.5" customHeight="1">
      <c r="A505" s="9"/>
      <c r="J505" s="9"/>
    </row>
    <row r="506" spans="1:10" ht="16.5" customHeight="1">
      <c r="A506" s="9"/>
      <c r="J506" s="9"/>
    </row>
    <row r="507" spans="1:10" ht="16.5" customHeight="1">
      <c r="A507" s="9"/>
      <c r="J507" s="9"/>
    </row>
    <row r="508" spans="1:10" ht="16.5" customHeight="1">
      <c r="A508" s="9"/>
      <c r="J508" s="9"/>
    </row>
    <row r="509" spans="1:10" ht="16.5" customHeight="1">
      <c r="A509" s="9"/>
      <c r="J509" s="9"/>
    </row>
    <row r="510" spans="1:10" ht="16.5" customHeight="1">
      <c r="A510" s="9"/>
      <c r="J510" s="9"/>
    </row>
    <row r="511" spans="1:10" ht="16.5" customHeight="1">
      <c r="A511" s="9"/>
      <c r="J511" s="9"/>
    </row>
    <row r="512" spans="1:10" ht="16.5" customHeight="1">
      <c r="A512" s="9"/>
      <c r="J512" s="9"/>
    </row>
    <row r="513" spans="1:10" ht="16.5" customHeight="1">
      <c r="A513" s="9"/>
      <c r="J513" s="9"/>
    </row>
    <row r="514" spans="1:10" ht="16.5" customHeight="1">
      <c r="A514" s="9"/>
      <c r="J514" s="9"/>
    </row>
    <row r="515" spans="1:10" ht="16.5" customHeight="1">
      <c r="A515" s="9"/>
      <c r="J515" s="9"/>
    </row>
    <row r="516" spans="1:10" ht="16.5" customHeight="1">
      <c r="A516" s="9"/>
      <c r="J516" s="9"/>
    </row>
    <row r="517" spans="1:10" ht="16.5" customHeight="1">
      <c r="A517" s="9"/>
      <c r="J517" s="9"/>
    </row>
    <row r="518" spans="1:10" ht="16.5" customHeight="1">
      <c r="A518" s="9"/>
      <c r="J518" s="9"/>
    </row>
    <row r="519" spans="1:10" ht="16.5" customHeight="1">
      <c r="A519" s="9"/>
      <c r="J519" s="9"/>
    </row>
    <row r="520" spans="1:10" ht="16.5" customHeight="1">
      <c r="A520" s="9"/>
      <c r="J520" s="9"/>
    </row>
    <row r="521" spans="1:10" ht="16.5" customHeight="1">
      <c r="A521" s="9"/>
      <c r="J521" s="9"/>
    </row>
    <row r="522" spans="1:10" ht="16.5" customHeight="1">
      <c r="A522" s="9"/>
      <c r="J522" s="9"/>
    </row>
    <row r="523" spans="1:10" ht="16.5" customHeight="1">
      <c r="A523" s="9"/>
      <c r="J523" s="9"/>
    </row>
    <row r="524" spans="1:10" ht="16.5" customHeight="1">
      <c r="A524" s="9"/>
      <c r="J524" s="9"/>
    </row>
    <row r="525" spans="1:10" ht="16.5" customHeight="1">
      <c r="A525" s="9"/>
      <c r="J525" s="9"/>
    </row>
    <row r="526" spans="1:10" ht="16.5" customHeight="1">
      <c r="A526" s="9"/>
      <c r="J526" s="9"/>
    </row>
    <row r="527" spans="1:10" ht="16.5" customHeight="1">
      <c r="A527" s="9"/>
      <c r="J527" s="9"/>
    </row>
    <row r="528" spans="1:10" ht="16.5" customHeight="1">
      <c r="A528" s="9"/>
      <c r="J528" s="9"/>
    </row>
    <row r="529" spans="1:10" ht="16.5" customHeight="1">
      <c r="A529" s="9"/>
      <c r="J529" s="9"/>
    </row>
    <row r="530" spans="1:10" ht="16.5" customHeight="1">
      <c r="A530" s="9"/>
      <c r="J530" s="9"/>
    </row>
    <row r="531" spans="1:10" ht="16.5" customHeight="1">
      <c r="A531" s="9"/>
      <c r="J531" s="9"/>
    </row>
    <row r="532" spans="1:10" ht="16.5" customHeight="1">
      <c r="A532" s="9"/>
      <c r="J532" s="9"/>
    </row>
    <row r="533" spans="1:10" ht="16.5" customHeight="1">
      <c r="A533" s="9"/>
      <c r="J533" s="9"/>
    </row>
    <row r="534" spans="1:10" ht="16.5" customHeight="1">
      <c r="A534" s="9"/>
      <c r="J534" s="9"/>
    </row>
    <row r="535" spans="1:10" ht="16.5" customHeight="1">
      <c r="A535" s="9"/>
      <c r="J535" s="9"/>
    </row>
    <row r="536" spans="1:10" ht="16.5" customHeight="1">
      <c r="A536" s="9"/>
      <c r="J536" s="9"/>
    </row>
    <row r="537" spans="1:10" ht="16.5" customHeight="1">
      <c r="A537" s="9"/>
      <c r="J537" s="9"/>
    </row>
    <row r="538" spans="1:10" ht="16.5" customHeight="1">
      <c r="A538" s="9"/>
      <c r="J538" s="9"/>
    </row>
    <row r="539" spans="1:10" ht="16.5" customHeight="1">
      <c r="A539" s="9"/>
      <c r="J539" s="9"/>
    </row>
    <row r="540" spans="1:10" ht="16.5" customHeight="1">
      <c r="A540" s="9"/>
      <c r="J540" s="9"/>
    </row>
    <row r="541" spans="1:10" ht="16.5" customHeight="1">
      <c r="A541" s="9"/>
      <c r="J541" s="9"/>
    </row>
    <row r="542" spans="1:10" ht="16.5" customHeight="1">
      <c r="A542" s="9"/>
      <c r="J542" s="9"/>
    </row>
    <row r="543" spans="1:10" ht="16.5" customHeight="1">
      <c r="A543" s="9"/>
      <c r="J543" s="9"/>
    </row>
    <row r="544" spans="1:10" ht="16.5" customHeight="1">
      <c r="A544" s="9"/>
      <c r="J544" s="9"/>
    </row>
    <row r="545" spans="1:10" ht="16.5" customHeight="1">
      <c r="A545" s="9"/>
      <c r="J545" s="9"/>
    </row>
    <row r="546" spans="1:10" ht="16.5" customHeight="1">
      <c r="A546" s="9"/>
      <c r="J546" s="9"/>
    </row>
    <row r="547" spans="1:10" ht="16.5" customHeight="1">
      <c r="A547" s="9"/>
      <c r="J547" s="9"/>
    </row>
    <row r="548" spans="1:10" ht="16.5" customHeight="1">
      <c r="A548" s="9"/>
      <c r="J548" s="9"/>
    </row>
    <row r="549" spans="1:10" ht="16.5" customHeight="1">
      <c r="A549" s="9"/>
      <c r="J549" s="9"/>
    </row>
    <row r="550" spans="1:10" ht="16.5" customHeight="1">
      <c r="A550" s="9"/>
      <c r="J550" s="9"/>
    </row>
    <row r="551" spans="1:10" ht="16.5" customHeight="1">
      <c r="A551" s="9"/>
      <c r="J551" s="9"/>
    </row>
    <row r="552" spans="1:10" ht="16.5" customHeight="1">
      <c r="A552" s="9"/>
      <c r="J552" s="9"/>
    </row>
    <row r="553" spans="1:10" ht="16.5" customHeight="1">
      <c r="A553" s="9"/>
      <c r="J553" s="9"/>
    </row>
    <row r="554" spans="1:10" ht="16.5" customHeight="1">
      <c r="A554" s="9"/>
      <c r="J554" s="9"/>
    </row>
    <row r="555" spans="1:10" ht="16.5" customHeight="1">
      <c r="A555" s="9"/>
      <c r="J555" s="9"/>
    </row>
    <row r="556" spans="1:10" ht="16.5" customHeight="1">
      <c r="A556" s="9"/>
      <c r="J556" s="9"/>
    </row>
    <row r="557" spans="1:10" ht="16.5" customHeight="1">
      <c r="A557" s="9"/>
      <c r="J557" s="9"/>
    </row>
    <row r="558" spans="1:10" ht="16.5" customHeight="1">
      <c r="A558" s="9"/>
      <c r="J558" s="9"/>
    </row>
    <row r="559" spans="1:10" ht="16.5" customHeight="1">
      <c r="A559" s="9"/>
      <c r="J559" s="9"/>
    </row>
    <row r="560" spans="1:10" ht="16.5" customHeight="1">
      <c r="A560" s="9"/>
      <c r="J560" s="9"/>
    </row>
    <row r="561" spans="1:10" ht="16.5" customHeight="1">
      <c r="A561" s="9"/>
      <c r="J561" s="9"/>
    </row>
    <row r="562" spans="1:10" ht="16.5" customHeight="1">
      <c r="A562" s="9"/>
      <c r="J562" s="9"/>
    </row>
    <row r="563" spans="1:10" ht="16.5" customHeight="1">
      <c r="A563" s="9"/>
      <c r="J563" s="9"/>
    </row>
    <row r="564" spans="1:10" ht="16.5" customHeight="1">
      <c r="A564" s="9"/>
      <c r="J564" s="9"/>
    </row>
    <row r="565" spans="1:10" ht="16.5" customHeight="1">
      <c r="A565" s="9"/>
      <c r="J565" s="9"/>
    </row>
    <row r="566" spans="1:10" ht="16.5" customHeight="1">
      <c r="A566" s="9"/>
      <c r="J566" s="9"/>
    </row>
    <row r="567" spans="1:10" ht="16.5" customHeight="1">
      <c r="A567" s="9"/>
      <c r="J567" s="9"/>
    </row>
    <row r="568" spans="1:10" ht="16.5" customHeight="1">
      <c r="A568" s="9"/>
      <c r="J568" s="9"/>
    </row>
    <row r="569" spans="1:10" ht="16.5" customHeight="1">
      <c r="A569" s="9"/>
      <c r="J569" s="9"/>
    </row>
    <row r="570" spans="1:10" ht="16.5" customHeight="1">
      <c r="A570" s="9"/>
      <c r="J570" s="9"/>
    </row>
    <row r="571" spans="1:10" ht="16.5" customHeight="1">
      <c r="A571" s="9"/>
      <c r="J571" s="9"/>
    </row>
    <row r="572" spans="1:10" ht="16.5" customHeight="1">
      <c r="A572" s="9"/>
      <c r="J572" s="9"/>
    </row>
    <row r="573" spans="1:10" ht="16.5" customHeight="1">
      <c r="A573" s="9"/>
      <c r="J573" s="9"/>
    </row>
    <row r="574" spans="1:10" ht="16.5" customHeight="1">
      <c r="A574" s="9"/>
      <c r="J574" s="9"/>
    </row>
    <row r="575" spans="1:10" ht="16.5" customHeight="1">
      <c r="A575" s="9"/>
      <c r="J575" s="9"/>
    </row>
    <row r="576" spans="1:10" ht="16.5" customHeight="1">
      <c r="A576" s="9"/>
      <c r="J576" s="9"/>
    </row>
    <row r="577" spans="1:10" ht="16.5" customHeight="1">
      <c r="A577" s="9"/>
      <c r="J577" s="9"/>
    </row>
    <row r="578" spans="1:10" ht="16.5" customHeight="1">
      <c r="A578" s="9"/>
      <c r="J578" s="9"/>
    </row>
    <row r="579" spans="1:10" ht="16.5" customHeight="1">
      <c r="A579" s="9"/>
      <c r="J579" s="9"/>
    </row>
    <row r="580" spans="1:10" ht="16.5" customHeight="1">
      <c r="A580" s="9"/>
      <c r="J580" s="9"/>
    </row>
    <row r="581" spans="1:10" ht="16.5" customHeight="1">
      <c r="A581" s="9"/>
      <c r="J581" s="9"/>
    </row>
    <row r="582" spans="1:10" ht="16.5" customHeight="1">
      <c r="A582" s="9"/>
      <c r="J582" s="9"/>
    </row>
    <row r="583" spans="1:10" ht="16.5" customHeight="1">
      <c r="A583" s="9"/>
      <c r="J583" s="9"/>
    </row>
    <row r="584" spans="1:10" ht="16.5" customHeight="1">
      <c r="A584" s="9"/>
      <c r="J584" s="9"/>
    </row>
    <row r="585" spans="1:10" ht="16.5" customHeight="1">
      <c r="A585" s="9"/>
      <c r="J585" s="9"/>
    </row>
    <row r="586" spans="1:10" ht="16.5" customHeight="1">
      <c r="A586" s="9"/>
      <c r="J586" s="9"/>
    </row>
    <row r="587" spans="1:10" ht="16.5" customHeight="1">
      <c r="A587" s="9"/>
      <c r="J587" s="9"/>
    </row>
    <row r="588" spans="1:10" ht="16.5" customHeight="1">
      <c r="A588" s="9"/>
      <c r="J588" s="9"/>
    </row>
    <row r="589" spans="1:10" ht="16.5" customHeight="1">
      <c r="A589" s="9"/>
      <c r="J589" s="9"/>
    </row>
    <row r="590" spans="1:10" ht="16.5" customHeight="1">
      <c r="A590" s="9"/>
      <c r="J590" s="9"/>
    </row>
    <row r="591" spans="1:10" ht="16.5" customHeight="1">
      <c r="A591" s="9"/>
      <c r="J591" s="9"/>
    </row>
    <row r="592" spans="1:10" ht="16.5" customHeight="1">
      <c r="A592" s="9"/>
      <c r="J592" s="9"/>
    </row>
    <row r="593" spans="1:10" ht="16.5" customHeight="1">
      <c r="A593" s="9"/>
      <c r="J593" s="9"/>
    </row>
    <row r="594" spans="1:10" ht="16.5" customHeight="1">
      <c r="A594" s="9"/>
      <c r="J594" s="9"/>
    </row>
    <row r="595" spans="1:10" ht="16.5" customHeight="1">
      <c r="A595" s="9"/>
      <c r="J595" s="9"/>
    </row>
    <row r="596" spans="1:10" ht="16.5" customHeight="1">
      <c r="A596" s="9"/>
      <c r="J596" s="9"/>
    </row>
    <row r="597" spans="1:10" ht="16.5" customHeight="1">
      <c r="A597" s="9"/>
      <c r="J597" s="9"/>
    </row>
    <row r="598" spans="1:10" ht="16.5" customHeight="1">
      <c r="A598" s="9"/>
      <c r="J598" s="9"/>
    </row>
    <row r="599" spans="1:10" ht="16.5" customHeight="1">
      <c r="A599" s="9"/>
      <c r="J599" s="9"/>
    </row>
    <row r="600" spans="1:10" ht="16.5" customHeight="1">
      <c r="A600" s="9"/>
      <c r="J600" s="9"/>
    </row>
    <row r="601" spans="1:10" ht="16.5" customHeight="1">
      <c r="A601" s="9"/>
      <c r="J601" s="9"/>
    </row>
    <row r="602" spans="1:10" ht="16.5" customHeight="1">
      <c r="A602" s="9"/>
      <c r="J602" s="9"/>
    </row>
    <row r="603" spans="1:10" ht="16.5" customHeight="1">
      <c r="A603" s="9"/>
      <c r="J603" s="9"/>
    </row>
    <row r="604" spans="1:10" ht="16.5" customHeight="1">
      <c r="A604" s="9"/>
      <c r="J604" s="9"/>
    </row>
    <row r="605" spans="1:10" ht="16.5" customHeight="1">
      <c r="A605" s="9"/>
      <c r="J605" s="9"/>
    </row>
    <row r="606" spans="1:10" ht="16.5" customHeight="1">
      <c r="A606" s="9"/>
      <c r="J606" s="9"/>
    </row>
    <row r="607" spans="1:10" ht="16.5" customHeight="1">
      <c r="A607" s="9"/>
      <c r="J607" s="9"/>
    </row>
    <row r="608" spans="1:10" ht="16.5" customHeight="1">
      <c r="A608" s="9"/>
      <c r="J608" s="9"/>
    </row>
    <row r="609" spans="1:10" ht="16.5" customHeight="1">
      <c r="A609" s="9"/>
      <c r="J609" s="9"/>
    </row>
    <row r="610" spans="1:10" ht="16.5" customHeight="1">
      <c r="A610" s="9"/>
      <c r="J610" s="9"/>
    </row>
    <row r="611" spans="1:10" ht="16.5" customHeight="1">
      <c r="A611" s="9"/>
      <c r="J611" s="9"/>
    </row>
    <row r="612" spans="1:10" ht="16.5" customHeight="1">
      <c r="A612" s="9"/>
      <c r="J612" s="9"/>
    </row>
    <row r="613" spans="1:10" ht="16.5" customHeight="1">
      <c r="A613" s="9"/>
      <c r="J613" s="9"/>
    </row>
    <row r="614" spans="1:10" ht="16.5" customHeight="1">
      <c r="A614" s="9"/>
      <c r="J614" s="9"/>
    </row>
    <row r="615" spans="1:10" ht="16.5" customHeight="1">
      <c r="A615" s="9"/>
      <c r="J615" s="9"/>
    </row>
    <row r="616" spans="1:10" ht="16.5" customHeight="1">
      <c r="A616" s="9"/>
      <c r="J616" s="9"/>
    </row>
    <row r="617" spans="1:10" ht="16.5" customHeight="1">
      <c r="A617" s="9"/>
      <c r="J617" s="9"/>
    </row>
    <row r="618" spans="1:10" ht="16.5" customHeight="1">
      <c r="A618" s="9"/>
      <c r="J618" s="9"/>
    </row>
    <row r="619" spans="1:10" ht="16.5" customHeight="1">
      <c r="A619" s="9"/>
      <c r="J619" s="9"/>
    </row>
    <row r="620" spans="1:10" ht="16.5" customHeight="1">
      <c r="A620" s="9"/>
      <c r="J620" s="9"/>
    </row>
    <row r="621" spans="1:10" ht="16.5" customHeight="1">
      <c r="A621" s="9"/>
      <c r="J621" s="9"/>
    </row>
    <row r="622" spans="1:10" ht="16.5" customHeight="1">
      <c r="A622" s="9"/>
      <c r="J622" s="9"/>
    </row>
    <row r="623" spans="1:10" ht="16.5" customHeight="1">
      <c r="A623" s="9"/>
      <c r="J623" s="9"/>
    </row>
    <row r="624" spans="1:10" ht="16.5" customHeight="1">
      <c r="A624" s="9"/>
      <c r="J624" s="9"/>
    </row>
    <row r="625" spans="1:10" ht="16.5" customHeight="1">
      <c r="A625" s="9"/>
      <c r="J625" s="9"/>
    </row>
    <row r="626" spans="1:10" ht="16.5" customHeight="1">
      <c r="A626" s="9"/>
      <c r="J626" s="9"/>
    </row>
    <row r="627" spans="1:10" ht="16.5" customHeight="1">
      <c r="A627" s="9"/>
      <c r="J627" s="9"/>
    </row>
    <row r="628" spans="1:10" ht="16.5" customHeight="1">
      <c r="A628" s="9"/>
      <c r="J628" s="9"/>
    </row>
    <row r="629" spans="1:10" ht="16.5" customHeight="1">
      <c r="A629" s="9"/>
      <c r="J629" s="9"/>
    </row>
    <row r="630" spans="1:10" ht="16.5" customHeight="1">
      <c r="A630" s="9"/>
      <c r="J630" s="9"/>
    </row>
    <row r="631" spans="1:10" ht="16.5" customHeight="1">
      <c r="A631" s="9"/>
      <c r="J631" s="9"/>
    </row>
    <row r="632" spans="1:10" ht="16.5" customHeight="1">
      <c r="A632" s="9"/>
      <c r="J632" s="9"/>
    </row>
    <row r="633" spans="1:10" ht="16.5" customHeight="1">
      <c r="A633" s="9"/>
      <c r="J633" s="9"/>
    </row>
    <row r="634" spans="1:10" ht="16.5" customHeight="1">
      <c r="A634" s="9"/>
      <c r="J634" s="9"/>
    </row>
    <row r="635" spans="1:10" ht="16.5" customHeight="1">
      <c r="A635" s="9"/>
      <c r="J635" s="9"/>
    </row>
    <row r="636" spans="1:10" ht="16.5" customHeight="1">
      <c r="A636" s="9"/>
      <c r="J636" s="9"/>
    </row>
    <row r="637" spans="1:10" ht="16.5" customHeight="1">
      <c r="A637" s="9"/>
      <c r="J637" s="9"/>
    </row>
    <row r="638" spans="1:10" ht="16.5" customHeight="1">
      <c r="A638" s="9"/>
      <c r="J638" s="9"/>
    </row>
    <row r="639" spans="1:10" ht="16.5" customHeight="1">
      <c r="A639" s="9"/>
      <c r="J639" s="9"/>
    </row>
    <row r="640" spans="1:10" ht="16.5" customHeight="1">
      <c r="A640" s="9"/>
      <c r="J640" s="9"/>
    </row>
    <row r="641" spans="1:10" ht="16.5" customHeight="1">
      <c r="A641" s="9"/>
      <c r="J641" s="9"/>
    </row>
    <row r="642" spans="1:10" ht="16.5" customHeight="1">
      <c r="A642" s="9"/>
      <c r="J642" s="9"/>
    </row>
    <row r="643" spans="1:10" ht="16.5" customHeight="1">
      <c r="A643" s="9"/>
      <c r="J643" s="9"/>
    </row>
    <row r="644" spans="1:10" ht="16.5" customHeight="1">
      <c r="A644" s="9"/>
      <c r="J644" s="9"/>
    </row>
    <row r="645" spans="1:10" ht="16.5" customHeight="1">
      <c r="A645" s="9"/>
      <c r="J645" s="9"/>
    </row>
    <row r="646" spans="1:10" ht="16.5" customHeight="1">
      <c r="A646" s="9"/>
      <c r="J646" s="9"/>
    </row>
    <row r="647" spans="1:10" ht="16.5" customHeight="1">
      <c r="A647" s="9"/>
      <c r="J647" s="9"/>
    </row>
    <row r="648" spans="1:10" ht="16.5" customHeight="1">
      <c r="A648" s="9"/>
      <c r="J648" s="9"/>
    </row>
    <row r="649" spans="1:10" ht="16.5" customHeight="1">
      <c r="A649" s="9"/>
      <c r="J649" s="9"/>
    </row>
    <row r="650" spans="1:10" ht="16.5" customHeight="1">
      <c r="A650" s="9"/>
      <c r="J650" s="9"/>
    </row>
    <row r="651" spans="1:10" ht="16.5" customHeight="1">
      <c r="A651" s="9"/>
      <c r="J651" s="9"/>
    </row>
    <row r="652" spans="1:10" ht="16.5" customHeight="1">
      <c r="A652" s="9"/>
      <c r="J652" s="9"/>
    </row>
    <row r="653" spans="1:10" ht="16.5" customHeight="1">
      <c r="A653" s="9"/>
      <c r="J653" s="9"/>
    </row>
    <row r="654" spans="1:10" ht="16.5" customHeight="1">
      <c r="A654" s="9"/>
      <c r="J654" s="9"/>
    </row>
    <row r="655" spans="1:10" ht="16.5" customHeight="1">
      <c r="A655" s="9"/>
      <c r="J655" s="9"/>
    </row>
    <row r="656" spans="1:10" ht="16.5" customHeight="1">
      <c r="A656" s="9"/>
      <c r="J656" s="9"/>
    </row>
    <row r="657" spans="1:10" ht="16.5" customHeight="1">
      <c r="A657" s="9"/>
      <c r="J657" s="9"/>
    </row>
    <row r="658" spans="1:10" ht="16.5" customHeight="1">
      <c r="A658" s="9"/>
      <c r="J658" s="9"/>
    </row>
    <row r="659" spans="1:10" ht="16.5" customHeight="1">
      <c r="A659" s="9"/>
      <c r="J659" s="9"/>
    </row>
    <row r="660" spans="1:10" ht="16.5" customHeight="1">
      <c r="A660" s="9"/>
      <c r="J660" s="9"/>
    </row>
    <row r="661" spans="1:10" ht="16.5" customHeight="1">
      <c r="A661" s="9"/>
      <c r="J661" s="9"/>
    </row>
    <row r="662" spans="1:10" ht="16.5" customHeight="1">
      <c r="A662" s="9"/>
      <c r="J662" s="9"/>
    </row>
    <row r="663" spans="1:10" ht="16.5" customHeight="1">
      <c r="A663" s="9"/>
      <c r="J663" s="9"/>
    </row>
    <row r="664" spans="1:10" ht="16.5" customHeight="1">
      <c r="A664" s="9"/>
      <c r="J664" s="9"/>
    </row>
    <row r="665" spans="1:10" ht="16.5" customHeight="1">
      <c r="A665" s="9"/>
      <c r="J665" s="9"/>
    </row>
    <row r="666" spans="1:10" ht="16.5" customHeight="1">
      <c r="A666" s="9"/>
      <c r="J666" s="9"/>
    </row>
    <row r="667" spans="1:10" ht="16.5" customHeight="1">
      <c r="A667" s="9"/>
      <c r="J667" s="9"/>
    </row>
    <row r="668" spans="1:10" ht="16.5" customHeight="1">
      <c r="A668" s="9"/>
      <c r="J668" s="9"/>
    </row>
    <row r="669" spans="1:10" ht="16.5" customHeight="1">
      <c r="A669" s="9"/>
      <c r="J669" s="9"/>
    </row>
    <row r="670" spans="1:10" ht="16.5" customHeight="1">
      <c r="A670" s="9"/>
      <c r="J670" s="9"/>
    </row>
    <row r="671" spans="1:10" ht="16.5" customHeight="1">
      <c r="A671" s="9"/>
      <c r="J671" s="9"/>
    </row>
    <row r="672" spans="1:10" ht="16.5" customHeight="1">
      <c r="A672" s="9"/>
      <c r="J672" s="9"/>
    </row>
    <row r="673" spans="1:10" ht="16.5" customHeight="1">
      <c r="A673" s="9"/>
      <c r="J673" s="9"/>
    </row>
    <row r="674" spans="1:10" ht="16.5" customHeight="1">
      <c r="A674" s="9"/>
      <c r="J674" s="9"/>
    </row>
    <row r="675" spans="1:10" ht="16.5" customHeight="1">
      <c r="A675" s="9"/>
      <c r="J675" s="9"/>
    </row>
    <row r="676" spans="1:10" ht="16.5" customHeight="1">
      <c r="A676" s="9"/>
      <c r="J676" s="9"/>
    </row>
    <row r="677" spans="1:10" ht="16.5" customHeight="1">
      <c r="A677" s="9"/>
      <c r="J677" s="9"/>
    </row>
    <row r="678" spans="1:10" ht="16.5" customHeight="1">
      <c r="A678" s="9"/>
      <c r="J678" s="9"/>
    </row>
    <row r="679" spans="1:10" ht="16.5" customHeight="1">
      <c r="A679" s="9"/>
      <c r="J679" s="9"/>
    </row>
    <row r="680" spans="1:10" ht="16.5" customHeight="1">
      <c r="A680" s="9"/>
      <c r="J680" s="9"/>
    </row>
    <row r="681" spans="1:10" ht="16.5" customHeight="1">
      <c r="A681" s="9"/>
      <c r="J681" s="9"/>
    </row>
    <row r="682" spans="1:10" ht="16.5" customHeight="1">
      <c r="A682" s="9"/>
      <c r="J682" s="9"/>
    </row>
    <row r="683" spans="1:10" ht="16.5" customHeight="1">
      <c r="A683" s="9"/>
      <c r="J683" s="9"/>
    </row>
    <row r="684" spans="1:10" ht="16.5" customHeight="1">
      <c r="A684" s="9"/>
      <c r="J684" s="9"/>
    </row>
    <row r="685" spans="1:10" ht="16.5" customHeight="1">
      <c r="A685" s="9"/>
      <c r="J685" s="9"/>
    </row>
    <row r="686" spans="1:10" ht="16.5" customHeight="1">
      <c r="A686" s="9"/>
      <c r="J686" s="9"/>
    </row>
    <row r="687" spans="1:10" ht="16.5" customHeight="1">
      <c r="A687" s="9"/>
      <c r="J687" s="9"/>
    </row>
    <row r="688" spans="1:10" ht="16.5" customHeight="1">
      <c r="A688" s="9"/>
      <c r="J688" s="9"/>
    </row>
    <row r="689" spans="1:10" ht="16.5" customHeight="1">
      <c r="A689" s="9"/>
      <c r="J689" s="9"/>
    </row>
    <row r="690" spans="1:10" ht="16.5" customHeight="1">
      <c r="A690" s="9"/>
      <c r="J690" s="9"/>
    </row>
    <row r="691" spans="1:10" ht="16.5" customHeight="1">
      <c r="A691" s="9"/>
      <c r="J691" s="9"/>
    </row>
    <row r="692" spans="1:10" ht="16.5" customHeight="1">
      <c r="A692" s="9"/>
      <c r="J692" s="9"/>
    </row>
    <row r="693" spans="1:10" ht="16.5" customHeight="1">
      <c r="A693" s="9"/>
      <c r="J693" s="9"/>
    </row>
    <row r="694" spans="1:10" ht="16.5" customHeight="1">
      <c r="A694" s="9"/>
      <c r="J694" s="9"/>
    </row>
    <row r="695" spans="1:10" ht="16.5" customHeight="1">
      <c r="A695" s="9"/>
      <c r="J695" s="9"/>
    </row>
    <row r="696" spans="1:10" ht="16.5" customHeight="1">
      <c r="A696" s="9"/>
      <c r="J696" s="9"/>
    </row>
    <row r="697" spans="1:10" ht="16.5" customHeight="1">
      <c r="A697" s="9"/>
      <c r="J697" s="9"/>
    </row>
    <row r="698" spans="1:10" ht="16.5" customHeight="1">
      <c r="A698" s="9"/>
      <c r="J698" s="9"/>
    </row>
    <row r="699" spans="1:10" ht="16.5" customHeight="1">
      <c r="A699" s="9"/>
      <c r="J699" s="9"/>
    </row>
    <row r="700" spans="1:10" ht="16.5" customHeight="1">
      <c r="A700" s="9"/>
      <c r="J700" s="9"/>
    </row>
    <row r="701" spans="1:10" ht="16.5" customHeight="1">
      <c r="A701" s="9"/>
      <c r="J701" s="9"/>
    </row>
    <row r="702" spans="1:10" ht="16.5" customHeight="1">
      <c r="A702" s="9"/>
      <c r="J702" s="9"/>
    </row>
    <row r="703" spans="1:10" ht="16.5" customHeight="1">
      <c r="A703" s="9"/>
      <c r="J703" s="9"/>
    </row>
    <row r="704" spans="1:10" ht="16.5" customHeight="1">
      <c r="A704" s="9"/>
      <c r="J704" s="9"/>
    </row>
    <row r="705" spans="1:10" ht="16.5" customHeight="1">
      <c r="A705" s="9"/>
      <c r="J705" s="9"/>
    </row>
    <row r="706" spans="1:10" ht="16.5" customHeight="1">
      <c r="A706" s="9"/>
      <c r="J706" s="9"/>
    </row>
    <row r="707" spans="1:10" ht="16.5" customHeight="1">
      <c r="A707" s="9"/>
      <c r="J707" s="9"/>
    </row>
    <row r="708" spans="1:10" ht="16.5" customHeight="1">
      <c r="A708" s="9"/>
      <c r="J708" s="9"/>
    </row>
    <row r="709" spans="1:10" ht="16.5" customHeight="1">
      <c r="A709" s="9"/>
      <c r="J709" s="9"/>
    </row>
    <row r="710" spans="1:10" ht="16.5" customHeight="1">
      <c r="A710" s="9"/>
      <c r="J710" s="9"/>
    </row>
    <row r="711" spans="1:10" ht="16.5" customHeight="1">
      <c r="A711" s="9"/>
      <c r="J711" s="9"/>
    </row>
    <row r="712" spans="1:10" ht="16.5" customHeight="1">
      <c r="A712" s="9"/>
      <c r="J712" s="9"/>
    </row>
    <row r="713" spans="1:10" ht="16.5" customHeight="1">
      <c r="A713" s="9"/>
      <c r="J713" s="9"/>
    </row>
    <row r="714" spans="1:10" ht="16.5" customHeight="1">
      <c r="A714" s="9"/>
      <c r="J714" s="9"/>
    </row>
    <row r="715" spans="1:10" ht="16.5" customHeight="1">
      <c r="A715" s="9"/>
      <c r="J715" s="9"/>
    </row>
    <row r="716" spans="1:10" ht="16.5" customHeight="1">
      <c r="A716" s="9"/>
      <c r="J716" s="9"/>
    </row>
    <row r="717" spans="1:10" ht="16.5" customHeight="1">
      <c r="A717" s="9"/>
      <c r="J717" s="9"/>
    </row>
    <row r="718" spans="1:10" ht="16.5" customHeight="1">
      <c r="A718" s="9"/>
      <c r="J718" s="9"/>
    </row>
    <row r="719" spans="1:10" ht="16.5" customHeight="1">
      <c r="A719" s="9"/>
      <c r="J719" s="9"/>
    </row>
    <row r="720" spans="1:10" ht="16.5" customHeight="1">
      <c r="A720" s="9"/>
      <c r="J720" s="9"/>
    </row>
    <row r="721" spans="1:10" ht="16.5" customHeight="1">
      <c r="A721" s="9"/>
      <c r="J721" s="9"/>
    </row>
    <row r="722" spans="1:10" ht="16.5" customHeight="1">
      <c r="A722" s="9"/>
      <c r="J722" s="9"/>
    </row>
    <row r="723" spans="1:10" ht="16.5" customHeight="1">
      <c r="A723" s="9"/>
      <c r="J723" s="9"/>
    </row>
    <row r="724" spans="1:10" ht="16.5" customHeight="1">
      <c r="A724" s="9"/>
      <c r="J724" s="9"/>
    </row>
    <row r="725" spans="1:10" ht="16.5" customHeight="1">
      <c r="A725" s="9"/>
      <c r="J725" s="9"/>
    </row>
    <row r="726" spans="1:10" ht="16.5" customHeight="1">
      <c r="A726" s="9"/>
      <c r="J726" s="9"/>
    </row>
    <row r="727" spans="1:10" ht="16.5" customHeight="1">
      <c r="A727" s="9"/>
      <c r="J727" s="9"/>
    </row>
    <row r="728" spans="1:10" ht="16.5" customHeight="1">
      <c r="A728" s="9"/>
      <c r="J728" s="9"/>
    </row>
    <row r="729" spans="1:10" ht="16.5" customHeight="1">
      <c r="A729" s="9"/>
      <c r="J729" s="9"/>
    </row>
    <row r="730" spans="1:10" ht="16.5" customHeight="1">
      <c r="A730" s="9"/>
      <c r="J730" s="9"/>
    </row>
    <row r="731" spans="1:10" ht="16.5" customHeight="1">
      <c r="A731" s="9"/>
      <c r="J731" s="9"/>
    </row>
    <row r="732" spans="1:10" ht="16.5" customHeight="1">
      <c r="A732" s="9"/>
      <c r="J732" s="9"/>
    </row>
    <row r="733" spans="1:10" ht="16.5" customHeight="1">
      <c r="A733" s="9"/>
      <c r="J733" s="9"/>
    </row>
    <row r="734" spans="1:10" ht="16.5" customHeight="1">
      <c r="A734" s="9"/>
      <c r="J734" s="9"/>
    </row>
    <row r="735" spans="1:10" ht="16.5" customHeight="1">
      <c r="A735" s="9"/>
      <c r="J735" s="9"/>
    </row>
    <row r="736" spans="1:10" ht="16.5" customHeight="1">
      <c r="A736" s="9"/>
      <c r="J736" s="9"/>
    </row>
    <row r="737" spans="1:10" ht="16.5" customHeight="1">
      <c r="A737" s="9"/>
      <c r="J737" s="9"/>
    </row>
    <row r="738" spans="1:10" ht="16.5" customHeight="1">
      <c r="A738" s="9"/>
      <c r="J738" s="9"/>
    </row>
    <row r="739" spans="1:10" ht="16.5" customHeight="1">
      <c r="A739" s="9"/>
      <c r="J739" s="9"/>
    </row>
    <row r="740" spans="1:10" ht="16.5" customHeight="1">
      <c r="A740" s="9"/>
      <c r="J740" s="9"/>
    </row>
    <row r="741" spans="1:10" ht="16.5" customHeight="1">
      <c r="A741" s="9"/>
      <c r="J741" s="9"/>
    </row>
    <row r="742" spans="1:10" ht="16.5" customHeight="1">
      <c r="A742" s="9"/>
      <c r="J742" s="9"/>
    </row>
    <row r="743" spans="1:10" ht="16.5" customHeight="1">
      <c r="A743" s="9"/>
      <c r="J743" s="9"/>
    </row>
    <row r="744" spans="1:10" ht="16.5" customHeight="1">
      <c r="A744" s="9"/>
      <c r="J744" s="9"/>
    </row>
    <row r="745" spans="1:10" ht="16.5" customHeight="1">
      <c r="A745" s="9"/>
      <c r="J745" s="9"/>
    </row>
    <row r="746" spans="1:10" ht="16.5" customHeight="1">
      <c r="A746" s="9"/>
      <c r="J746" s="9"/>
    </row>
    <row r="747" spans="1:10" ht="16.5" customHeight="1">
      <c r="A747" s="9"/>
      <c r="J747" s="9"/>
    </row>
    <row r="748" spans="1:10" ht="16.5" customHeight="1">
      <c r="A748" s="9"/>
      <c r="J748" s="9"/>
    </row>
    <row r="749" spans="1:10" ht="16.5" customHeight="1">
      <c r="A749" s="9"/>
      <c r="J749" s="9"/>
    </row>
    <row r="750" spans="1:10" ht="16.5" customHeight="1">
      <c r="A750" s="9"/>
      <c r="J750" s="9"/>
    </row>
    <row r="751" spans="1:10" ht="16.5" customHeight="1">
      <c r="A751" s="9"/>
      <c r="J751" s="9"/>
    </row>
    <row r="752" spans="1:10" ht="16.5" customHeight="1">
      <c r="A752" s="9"/>
      <c r="J752" s="9"/>
    </row>
    <row r="753" spans="1:10" ht="16.5" customHeight="1">
      <c r="A753" s="9"/>
      <c r="J753" s="9"/>
    </row>
    <row r="754" spans="1:10" ht="16.5" customHeight="1">
      <c r="A754" s="9"/>
      <c r="J754" s="9"/>
    </row>
    <row r="755" spans="1:10" ht="16.5" customHeight="1">
      <c r="A755" s="9"/>
      <c r="J755" s="9"/>
    </row>
    <row r="756" spans="1:10" ht="16.5" customHeight="1">
      <c r="A756" s="9"/>
      <c r="J756" s="9"/>
    </row>
    <row r="757" spans="1:10" ht="16.5" customHeight="1">
      <c r="A757" s="9"/>
      <c r="J757" s="9"/>
    </row>
    <row r="758" spans="1:10" ht="16.5" customHeight="1">
      <c r="A758" s="9"/>
      <c r="J758" s="9"/>
    </row>
    <row r="759" spans="1:10" ht="16.5" customHeight="1">
      <c r="A759" s="9"/>
      <c r="J759" s="9"/>
    </row>
    <row r="760" spans="1:10" ht="16.5" customHeight="1">
      <c r="A760" s="9"/>
      <c r="J760" s="9"/>
    </row>
    <row r="761" spans="1:10" ht="16.5" customHeight="1">
      <c r="A761" s="9"/>
      <c r="J761" s="9"/>
    </row>
    <row r="762" spans="1:10" ht="16.5" customHeight="1">
      <c r="A762" s="9"/>
      <c r="J762" s="9"/>
    </row>
    <row r="763" spans="1:10" ht="16.5" customHeight="1">
      <c r="A763" s="9"/>
      <c r="J763" s="9"/>
    </row>
    <row r="764" spans="1:10" ht="16.5" customHeight="1">
      <c r="A764" s="9"/>
      <c r="J764" s="9"/>
    </row>
    <row r="765" spans="1:10" ht="16.5" customHeight="1">
      <c r="A765" s="9"/>
      <c r="J765" s="9"/>
    </row>
    <row r="766" spans="1:10" ht="16.5" customHeight="1">
      <c r="A766" s="9"/>
      <c r="J766" s="9"/>
    </row>
    <row r="767" spans="1:10" ht="16.5" customHeight="1">
      <c r="A767" s="9"/>
      <c r="J767" s="9"/>
    </row>
    <row r="768" spans="1:10" ht="16.5" customHeight="1">
      <c r="A768" s="9"/>
      <c r="J768" s="9"/>
    </row>
    <row r="769" spans="1:10" ht="16.5" customHeight="1">
      <c r="A769" s="9"/>
      <c r="J769" s="9"/>
    </row>
    <row r="770" spans="1:10" ht="16.5" customHeight="1">
      <c r="A770" s="9"/>
      <c r="J770" s="9"/>
    </row>
    <row r="771" spans="1:10" ht="16.5" customHeight="1">
      <c r="A771" s="9"/>
      <c r="J771" s="9"/>
    </row>
    <row r="772" spans="1:10" ht="16.5" customHeight="1">
      <c r="A772" s="9"/>
      <c r="J772" s="9"/>
    </row>
    <row r="773" spans="1:10" ht="16.5" customHeight="1">
      <c r="A773" s="9"/>
      <c r="J773" s="9"/>
    </row>
    <row r="774" spans="1:10" ht="16.5" customHeight="1">
      <c r="A774" s="9"/>
      <c r="J774" s="9"/>
    </row>
    <row r="775" spans="1:10" ht="16.5" customHeight="1">
      <c r="A775" s="9"/>
      <c r="J775" s="9"/>
    </row>
    <row r="776" spans="1:10" ht="16.5" customHeight="1">
      <c r="A776" s="9"/>
      <c r="J776" s="9"/>
    </row>
    <row r="777" spans="1:10" ht="16.5" customHeight="1">
      <c r="A777" s="9"/>
      <c r="J777" s="9"/>
    </row>
    <row r="778" spans="1:10" ht="16.5" customHeight="1">
      <c r="A778" s="9"/>
      <c r="J778" s="9"/>
    </row>
    <row r="779" spans="1:10" ht="16.5" customHeight="1">
      <c r="A779" s="9"/>
      <c r="J779" s="9"/>
    </row>
    <row r="780" spans="1:10" ht="16.5" customHeight="1">
      <c r="A780" s="9"/>
      <c r="J780" s="9"/>
    </row>
    <row r="781" spans="1:10" ht="16.5" customHeight="1">
      <c r="A781" s="9"/>
      <c r="J781" s="9"/>
    </row>
    <row r="782" spans="1:10" ht="16.5" customHeight="1">
      <c r="A782" s="9"/>
      <c r="J782" s="9"/>
    </row>
    <row r="783" spans="1:10" ht="16.5" customHeight="1">
      <c r="A783" s="9"/>
      <c r="J783" s="9"/>
    </row>
    <row r="784" spans="1:10" ht="16.5" customHeight="1">
      <c r="A784" s="9"/>
      <c r="J784" s="9"/>
    </row>
    <row r="785" spans="1:10" ht="16.5" customHeight="1">
      <c r="A785" s="9"/>
      <c r="J785" s="9"/>
    </row>
    <row r="786" spans="1:10" ht="16.5" customHeight="1">
      <c r="A786" s="9"/>
      <c r="J786" s="9"/>
    </row>
    <row r="787" spans="1:10" ht="16.5" customHeight="1">
      <c r="A787" s="9"/>
      <c r="J787" s="9"/>
    </row>
    <row r="788" spans="1:10" ht="16.5" customHeight="1">
      <c r="A788" s="9"/>
      <c r="J788" s="9"/>
    </row>
    <row r="789" spans="1:10" ht="16.5" customHeight="1">
      <c r="A789" s="9"/>
      <c r="J789" s="9"/>
    </row>
    <row r="790" spans="1:10" ht="16.5" customHeight="1">
      <c r="A790" s="9"/>
      <c r="J790" s="9"/>
    </row>
    <row r="791" spans="1:10" ht="16.5" customHeight="1">
      <c r="A791" s="9"/>
      <c r="J791" s="9"/>
    </row>
    <row r="792" spans="1:10" ht="16.5" customHeight="1">
      <c r="A792" s="9"/>
      <c r="J792" s="9"/>
    </row>
    <row r="793" spans="1:10" ht="16.5" customHeight="1">
      <c r="A793" s="9"/>
      <c r="J793" s="9"/>
    </row>
    <row r="794" spans="1:10" ht="16.5" customHeight="1">
      <c r="A794" s="9"/>
      <c r="J794" s="9"/>
    </row>
    <row r="795" spans="1:10" ht="16.5" customHeight="1">
      <c r="A795" s="9"/>
      <c r="J795" s="9"/>
    </row>
    <row r="796" spans="1:10" ht="16.5" customHeight="1">
      <c r="A796" s="9"/>
      <c r="J796" s="9"/>
    </row>
    <row r="797" spans="1:10" ht="16.5" customHeight="1">
      <c r="A797" s="9"/>
      <c r="J797" s="9"/>
    </row>
    <row r="798" spans="1:10" ht="16.5" customHeight="1">
      <c r="A798" s="9"/>
      <c r="J798" s="9"/>
    </row>
    <row r="799" spans="1:10" ht="16.5" customHeight="1">
      <c r="A799" s="9"/>
      <c r="J799" s="9"/>
    </row>
    <row r="800" spans="1:10" ht="16.5" customHeight="1">
      <c r="A800" s="9"/>
      <c r="J800" s="9"/>
    </row>
    <row r="801" spans="1:10" ht="16.5" customHeight="1">
      <c r="A801" s="9"/>
      <c r="J801" s="9"/>
    </row>
    <row r="802" spans="1:10" ht="16.5" customHeight="1">
      <c r="A802" s="9"/>
      <c r="J802" s="9"/>
    </row>
    <row r="803" spans="1:10" ht="16.5" customHeight="1">
      <c r="A803" s="9"/>
      <c r="J803" s="9"/>
    </row>
    <row r="804" spans="1:10" ht="16.5" customHeight="1">
      <c r="A804" s="9"/>
      <c r="J804" s="9"/>
    </row>
    <row r="805" spans="1:10" ht="16.5" customHeight="1">
      <c r="A805" s="9"/>
      <c r="J805" s="9"/>
    </row>
    <row r="806" spans="1:10" ht="16.5" customHeight="1">
      <c r="A806" s="9"/>
      <c r="J806" s="9"/>
    </row>
    <row r="807" spans="1:10" ht="16.5" customHeight="1">
      <c r="A807" s="9"/>
      <c r="J807" s="9"/>
    </row>
    <row r="808" spans="1:10" ht="16.5" customHeight="1">
      <c r="A808" s="9"/>
      <c r="J808" s="9"/>
    </row>
    <row r="809" spans="1:10" ht="16.5" customHeight="1">
      <c r="A809" s="9"/>
      <c r="J809" s="9"/>
    </row>
    <row r="810" spans="1:10" ht="16.5" customHeight="1">
      <c r="A810" s="9"/>
      <c r="J810" s="9"/>
    </row>
    <row r="811" spans="1:10" ht="16.5" customHeight="1">
      <c r="A811" s="9"/>
      <c r="J811" s="9"/>
    </row>
    <row r="812" spans="1:10" ht="16.5" customHeight="1">
      <c r="A812" s="9"/>
      <c r="J812" s="9"/>
    </row>
    <row r="813" spans="1:10" ht="16.5" customHeight="1">
      <c r="A813" s="9"/>
      <c r="J813" s="9"/>
    </row>
    <row r="814" spans="1:10" ht="16.5" customHeight="1">
      <c r="A814" s="9"/>
      <c r="J814" s="9"/>
    </row>
    <row r="815" spans="1:10" ht="16.5" customHeight="1">
      <c r="A815" s="9"/>
      <c r="J815" s="9"/>
    </row>
    <row r="816" spans="1:10" ht="16.5" customHeight="1">
      <c r="A816" s="9"/>
      <c r="J816" s="9"/>
    </row>
    <row r="817" spans="1:10" ht="16.5" customHeight="1">
      <c r="A817" s="9"/>
      <c r="J817" s="9"/>
    </row>
    <row r="818" spans="1:10" ht="16.5" customHeight="1">
      <c r="A818" s="9"/>
      <c r="J818" s="9"/>
    </row>
    <row r="819" spans="1:10" ht="16.5" customHeight="1">
      <c r="A819" s="9"/>
      <c r="J819" s="9"/>
    </row>
    <row r="820" spans="1:10" ht="16.5" customHeight="1">
      <c r="A820" s="9"/>
      <c r="J820" s="9"/>
    </row>
    <row r="821" spans="1:10" ht="16.5" customHeight="1">
      <c r="A821" s="9"/>
      <c r="J821" s="9"/>
    </row>
    <row r="822" spans="1:10" ht="16.5" customHeight="1">
      <c r="A822" s="9"/>
      <c r="J822" s="9"/>
    </row>
    <row r="823" spans="1:10" ht="16.5" customHeight="1">
      <c r="A823" s="9"/>
      <c r="J823" s="9"/>
    </row>
    <row r="824" spans="1:10" ht="16.5" customHeight="1">
      <c r="A824" s="9"/>
      <c r="J824" s="9"/>
    </row>
    <row r="825" spans="1:10" ht="16.5" customHeight="1">
      <c r="A825" s="9"/>
      <c r="J825" s="9"/>
    </row>
    <row r="826" spans="1:10" ht="16.5" customHeight="1">
      <c r="A826" s="9"/>
      <c r="J826" s="9"/>
    </row>
    <row r="827" spans="1:10" ht="16.5" customHeight="1">
      <c r="A827" s="9"/>
      <c r="J827" s="9"/>
    </row>
    <row r="828" spans="1:10" ht="16.5" customHeight="1">
      <c r="A828" s="9"/>
      <c r="J828" s="9"/>
    </row>
    <row r="829" spans="1:10" ht="16.5" customHeight="1">
      <c r="A829" s="9"/>
      <c r="J829" s="9"/>
    </row>
    <row r="830" spans="1:10" ht="16.5" customHeight="1">
      <c r="A830" s="9"/>
      <c r="J830" s="9"/>
    </row>
    <row r="831" spans="1:10" ht="16.5" customHeight="1">
      <c r="A831" s="9"/>
      <c r="J831" s="9"/>
    </row>
    <row r="832" spans="1:10" ht="16.5" customHeight="1">
      <c r="A832" s="9"/>
      <c r="J832" s="9"/>
    </row>
    <row r="833" spans="1:10" ht="16.5" customHeight="1">
      <c r="A833" s="9"/>
      <c r="J833" s="9"/>
    </row>
    <row r="834" spans="1:10" ht="16.5" customHeight="1">
      <c r="A834" s="9"/>
      <c r="J834" s="9"/>
    </row>
    <row r="835" spans="1:10" ht="16.5" customHeight="1">
      <c r="A835" s="9"/>
      <c r="J835" s="9"/>
    </row>
    <row r="836" spans="1:10" ht="16.5" customHeight="1">
      <c r="A836" s="9"/>
      <c r="J836" s="9"/>
    </row>
    <row r="837" spans="1:10" ht="16.5" customHeight="1">
      <c r="A837" s="9"/>
      <c r="J837" s="9"/>
    </row>
    <row r="838" spans="1:10" ht="16.5" customHeight="1">
      <c r="A838" s="9"/>
      <c r="J838" s="9"/>
    </row>
    <row r="839" spans="1:10" ht="16.5" customHeight="1">
      <c r="A839" s="9"/>
      <c r="J839" s="9"/>
    </row>
    <row r="840" spans="1:10" ht="16.5" customHeight="1">
      <c r="A840" s="9"/>
      <c r="J840" s="9"/>
    </row>
    <row r="841" spans="1:10" ht="16.5" customHeight="1">
      <c r="A841" s="9"/>
      <c r="J841" s="9"/>
    </row>
    <row r="842" spans="1:10" ht="16.5" customHeight="1">
      <c r="A842" s="9"/>
      <c r="J842" s="9"/>
    </row>
    <row r="843" spans="1:10" ht="16.5" customHeight="1">
      <c r="A843" s="9"/>
      <c r="J843" s="9"/>
    </row>
    <row r="844" spans="1:10" ht="16.5" customHeight="1">
      <c r="A844" s="9"/>
      <c r="J844" s="9"/>
    </row>
    <row r="845" spans="1:10" ht="16.5" customHeight="1">
      <c r="A845" s="9"/>
      <c r="J845" s="9"/>
    </row>
    <row r="846" spans="1:10" ht="16.5" customHeight="1">
      <c r="A846" s="9"/>
      <c r="J846" s="9"/>
    </row>
    <row r="847" spans="1:10" ht="16.5" customHeight="1">
      <c r="A847" s="9"/>
      <c r="J847" s="9"/>
    </row>
    <row r="848" spans="1:10" ht="16.5" customHeight="1">
      <c r="A848" s="9"/>
      <c r="J848" s="9"/>
    </row>
    <row r="849" spans="1:10" ht="16.5" customHeight="1">
      <c r="A849" s="9"/>
      <c r="J849" s="9"/>
    </row>
    <row r="850" spans="1:10" ht="16.5" customHeight="1">
      <c r="A850" s="9"/>
      <c r="J850" s="9"/>
    </row>
    <row r="851" spans="1:10" ht="16.5" customHeight="1">
      <c r="A851" s="9"/>
      <c r="J851" s="9"/>
    </row>
    <row r="852" spans="1:10" ht="16.5" customHeight="1">
      <c r="A852" s="9"/>
      <c r="J852" s="9"/>
    </row>
    <row r="853" spans="1:10" ht="16.5" customHeight="1">
      <c r="A853" s="9"/>
      <c r="J853" s="9"/>
    </row>
    <row r="854" spans="1:10" ht="16.5" customHeight="1">
      <c r="A854" s="9"/>
      <c r="J854" s="9"/>
    </row>
    <row r="855" spans="1:10" ht="16.5" customHeight="1">
      <c r="A855" s="9"/>
      <c r="J855" s="9"/>
    </row>
    <row r="856" spans="1:10" ht="16.5" customHeight="1">
      <c r="A856" s="9"/>
      <c r="J856" s="9"/>
    </row>
    <row r="857" spans="1:10" ht="16.5" customHeight="1">
      <c r="A857" s="9"/>
      <c r="J857" s="9"/>
    </row>
    <row r="858" spans="1:10" ht="16.5" customHeight="1">
      <c r="A858" s="9"/>
      <c r="J858" s="9"/>
    </row>
    <row r="859" spans="1:10" ht="16.5" customHeight="1">
      <c r="A859" s="9"/>
      <c r="J859" s="9"/>
    </row>
    <row r="860" spans="1:10" ht="16.5" customHeight="1">
      <c r="A860" s="9"/>
      <c r="J860" s="9"/>
    </row>
    <row r="861" spans="1:10" ht="16.5" customHeight="1">
      <c r="A861" s="9"/>
      <c r="J861" s="9"/>
    </row>
    <row r="862" spans="1:10" ht="16.5" customHeight="1">
      <c r="A862" s="9"/>
      <c r="J862" s="9"/>
    </row>
    <row r="863" spans="1:10" ht="16.5" customHeight="1">
      <c r="A863" s="9"/>
      <c r="J863" s="9"/>
    </row>
    <row r="864" spans="1:10" ht="16.5" customHeight="1">
      <c r="A864" s="9"/>
      <c r="J864" s="9"/>
    </row>
    <row r="865" spans="1:10" ht="16.5" customHeight="1">
      <c r="A865" s="9"/>
      <c r="J865" s="9"/>
    </row>
    <row r="866" spans="1:10" ht="16.5" customHeight="1">
      <c r="A866" s="9"/>
      <c r="J866" s="9"/>
    </row>
    <row r="867" spans="1:10" ht="16.5" customHeight="1">
      <c r="A867" s="9"/>
      <c r="J867" s="9"/>
    </row>
    <row r="868" spans="1:10" ht="16.5" customHeight="1">
      <c r="A868" s="9"/>
      <c r="J868" s="9"/>
    </row>
    <row r="869" spans="1:10" ht="16.5" customHeight="1">
      <c r="A869" s="9"/>
      <c r="J869" s="9"/>
    </row>
    <row r="870" spans="1:10" ht="16.5" customHeight="1">
      <c r="A870" s="9"/>
      <c r="J870" s="9"/>
    </row>
    <row r="871" spans="1:10" ht="16.5" customHeight="1">
      <c r="A871" s="9"/>
      <c r="J871" s="9"/>
    </row>
    <row r="872" spans="1:10" ht="16.5" customHeight="1">
      <c r="A872" s="9"/>
      <c r="J872" s="9"/>
    </row>
    <row r="873" spans="1:10" ht="16.5" customHeight="1">
      <c r="A873" s="9"/>
      <c r="J873" s="9"/>
    </row>
    <row r="874" spans="1:10" ht="16.5" customHeight="1">
      <c r="A874" s="9"/>
      <c r="J874" s="9"/>
    </row>
    <row r="875" spans="1:10" ht="16.5" customHeight="1">
      <c r="A875" s="9"/>
      <c r="J875" s="9"/>
    </row>
    <row r="876" spans="1:10" ht="16.5" customHeight="1">
      <c r="A876" s="9"/>
      <c r="J876" s="9"/>
    </row>
    <row r="877" spans="1:10" ht="16.5" customHeight="1">
      <c r="A877" s="9"/>
      <c r="J877" s="9"/>
    </row>
    <row r="878" spans="1:10" ht="16.5" customHeight="1">
      <c r="A878" s="9"/>
      <c r="J878" s="9"/>
    </row>
    <row r="879" spans="1:10" ht="16.5" customHeight="1">
      <c r="A879" s="9"/>
      <c r="J879" s="9"/>
    </row>
    <row r="880" spans="1:10" ht="16.5" customHeight="1">
      <c r="A880" s="9"/>
      <c r="J880" s="9"/>
    </row>
    <row r="881" spans="1:10" ht="16.5" customHeight="1">
      <c r="A881" s="9"/>
      <c r="J881" s="9"/>
    </row>
    <row r="882" spans="1:10" ht="16.5" customHeight="1">
      <c r="A882" s="9"/>
      <c r="J882" s="9"/>
    </row>
    <row r="883" spans="1:10" ht="16.5" customHeight="1">
      <c r="A883" s="9"/>
      <c r="J883" s="9"/>
    </row>
    <row r="884" spans="1:10" ht="16.5" customHeight="1">
      <c r="A884" s="9"/>
      <c r="J884" s="9"/>
    </row>
    <row r="885" spans="1:10" ht="16.5" customHeight="1">
      <c r="A885" s="9"/>
      <c r="J885" s="9"/>
    </row>
    <row r="886" spans="1:10" ht="16.5" customHeight="1">
      <c r="A886" s="9"/>
      <c r="J886" s="9"/>
    </row>
    <row r="887" spans="1:10" ht="16.5" customHeight="1">
      <c r="A887" s="9"/>
      <c r="J887" s="9"/>
    </row>
    <row r="888" spans="1:10" ht="16.5" customHeight="1">
      <c r="A888" s="9"/>
      <c r="J888" s="9"/>
    </row>
    <row r="889" spans="1:10" ht="16.5" customHeight="1">
      <c r="A889" s="9"/>
      <c r="J889" s="9"/>
    </row>
    <row r="890" spans="1:10" ht="16.5" customHeight="1">
      <c r="A890" s="9"/>
      <c r="J890" s="9"/>
    </row>
    <row r="891" spans="1:10" ht="16.5" customHeight="1">
      <c r="A891" s="9"/>
      <c r="J891" s="9"/>
    </row>
    <row r="892" spans="1:10" ht="16.5" customHeight="1">
      <c r="A892" s="9"/>
      <c r="J892" s="9"/>
    </row>
    <row r="893" spans="1:10" ht="16.5" customHeight="1">
      <c r="A893" s="9"/>
      <c r="J893" s="9"/>
    </row>
    <row r="894" spans="1:10" ht="16.5" customHeight="1">
      <c r="A894" s="9"/>
      <c r="J894" s="9"/>
    </row>
    <row r="895" spans="1:10" ht="16.5" customHeight="1">
      <c r="A895" s="9"/>
      <c r="J895" s="9"/>
    </row>
    <row r="896" spans="1:10" ht="16.5" customHeight="1">
      <c r="A896" s="9"/>
      <c r="J896" s="9"/>
    </row>
    <row r="897" spans="1:10" ht="16.5" customHeight="1">
      <c r="A897" s="9"/>
      <c r="J897" s="9"/>
    </row>
    <row r="898" spans="1:10" ht="16.5" customHeight="1">
      <c r="A898" s="9"/>
      <c r="J898" s="9"/>
    </row>
    <row r="899" spans="1:10" ht="16.5" customHeight="1">
      <c r="A899" s="9"/>
      <c r="J899" s="9"/>
    </row>
    <row r="900" spans="1:10" ht="16.5" customHeight="1">
      <c r="A900" s="9"/>
      <c r="J900" s="9"/>
    </row>
    <row r="901" spans="1:10" ht="16.5" customHeight="1">
      <c r="A901" s="9"/>
      <c r="J901" s="9"/>
    </row>
    <row r="902" spans="1:10" ht="16.5" customHeight="1">
      <c r="A902" s="9"/>
      <c r="J902" s="9"/>
    </row>
    <row r="903" spans="1:10" ht="16.5" customHeight="1">
      <c r="A903" s="9"/>
      <c r="J903" s="9"/>
    </row>
    <row r="904" spans="1:10" ht="16.5" customHeight="1">
      <c r="A904" s="9"/>
      <c r="J904" s="9"/>
    </row>
    <row r="905" spans="1:10" ht="16.5" customHeight="1">
      <c r="A905" s="9"/>
      <c r="J905" s="9"/>
    </row>
    <row r="906" spans="1:10" ht="16.5" customHeight="1">
      <c r="A906" s="9"/>
      <c r="J906" s="9"/>
    </row>
    <row r="908" spans="1:10" ht="16.5" customHeight="1"/>
    <row r="910" spans="1:10" ht="16.5" customHeight="1"/>
    <row r="912" spans="1:10" ht="16.5" customHeight="1"/>
    <row r="913" ht="16.5" customHeight="1"/>
  </sheetData>
  <pageMargins left="0.7" right="0.7" top="0.75" bottom="0.75" header="0.3" footer="0.3"/>
  <pageSetup paperSize="9" orientation="landscape" horizontalDpi="0" verticalDpi="0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E730E-05F9-4C83-9C15-EDEDBD743DB6}">
  <dimension ref="A1:J913"/>
  <sheetViews>
    <sheetView showGridLines="0" showRowColHeaders="0" zoomScaleNormal="100" workbookViewId="0">
      <pane ySplit="4" topLeftCell="A5" activePane="bottomLeft" state="frozen"/>
      <selection pane="bottomLeft"/>
    </sheetView>
  </sheetViews>
  <sheetFormatPr defaultColWidth="0" defaultRowHeight="16.5" customHeight="1" zeroHeight="1"/>
  <cols>
    <col min="1" max="2" width="3.140625" style="1" customWidth="1"/>
    <col min="3" max="3" width="28.5703125" style="1" customWidth="1"/>
    <col min="4" max="6" width="18.5703125" style="1" customWidth="1"/>
    <col min="7" max="8" width="13.5703125" style="1" customWidth="1"/>
    <col min="9" max="10" width="3.140625" style="1" customWidth="1"/>
    <col min="11" max="16384" width="8.7109375" style="1" hidden="1"/>
  </cols>
  <sheetData>
    <row r="1" spans="1:10" ht="29.45" customHeight="1">
      <c r="A1" s="9"/>
      <c r="C1" s="10" t="s">
        <v>0</v>
      </c>
      <c r="J1" s="9"/>
    </row>
    <row r="2" spans="1:10" ht="21" customHeight="1">
      <c r="A2" s="9"/>
      <c r="C2" s="11" t="s">
        <v>12</v>
      </c>
      <c r="J2" s="9"/>
    </row>
    <row r="3" spans="1:10" ht="14.45" customHeight="1">
      <c r="A3" s="9"/>
      <c r="C3" s="13" t="str" cm="1">
        <f t="array" ref="C3">"Período: janeiro a "&amp;Periodo[Mês]&amp;" de "&amp;Periodo[Ano]</f>
        <v>Período: janeiro a janeiro de 2024</v>
      </c>
      <c r="D3" s="14"/>
      <c r="E3" s="14"/>
      <c r="F3" s="13" t="s">
        <v>2</v>
      </c>
      <c r="J3" s="9"/>
    </row>
    <row r="4" spans="1:10" ht="7.5" customHeight="1">
      <c r="A4" s="9"/>
      <c r="J4" s="9"/>
    </row>
    <row r="5" spans="1:10" ht="21">
      <c r="A5" s="9"/>
      <c r="C5" s="6" t="s">
        <v>3</v>
      </c>
      <c r="J5" s="9"/>
    </row>
    <row r="6" spans="1:10">
      <c r="A6" s="9"/>
      <c r="C6" s="3" t="s">
        <v>13</v>
      </c>
      <c r="D6" s="4" t="str" cm="1">
        <f t="array" ref="D6">"jan-"&amp;LEFT(Periodo[Mês],3)&amp;"/"&amp;Periodo[Ano]</f>
        <v>jan-jan/2024</v>
      </c>
      <c r="E6" s="4" t="str" cm="1">
        <f t="array" ref="E6">"jan-"&amp;LEFT(Periodo[Mês],3)&amp;"/"&amp;Periodo[Ano]-1</f>
        <v>jan-jan/2023</v>
      </c>
      <c r="F6" s="4" t="str" cm="1">
        <f t="array" ref="F6">"jan-"&amp;LEFT(Periodo[Mês],3)&amp;"/"&amp;Periodo[Ano]-2</f>
        <v>jan-jan/2022</v>
      </c>
      <c r="G6" s="4" t="str" cm="1">
        <f t="array" ref="G6">Periodo[Ano]&amp;"x"&amp;Periodo[Ano]-1</f>
        <v>2024x2023</v>
      </c>
      <c r="H6" s="4" t="str" cm="1">
        <f t="array" ref="H6">Periodo[Ano]&amp;"x"&amp;Periodo[Ano]-2</f>
        <v>2024x2022</v>
      </c>
      <c r="I6" s="5"/>
      <c r="J6" s="9"/>
    </row>
    <row r="7" spans="1:10">
      <c r="A7" s="9"/>
      <c r="C7" s="15" t="s">
        <v>14</v>
      </c>
      <c r="D7" s="16">
        <v>1370398.4639999999</v>
      </c>
      <c r="E7" s="16">
        <v>2131705.2799999998</v>
      </c>
      <c r="F7" s="16">
        <v>1515351.26</v>
      </c>
      <c r="G7" s="17">
        <v>-0.35713511766504602</v>
      </c>
      <c r="H7" s="17">
        <v>-9.5656234845510196E-2</v>
      </c>
      <c r="J7" s="9"/>
    </row>
    <row r="8" spans="1:10">
      <c r="A8" s="9"/>
      <c r="C8" s="15" t="s">
        <v>15</v>
      </c>
      <c r="D8" s="16">
        <v>485825</v>
      </c>
      <c r="E8" s="16">
        <v>276049</v>
      </c>
      <c r="F8" s="16">
        <v>268590</v>
      </c>
      <c r="G8" s="17">
        <v>0.75992305713840702</v>
      </c>
      <c r="H8" s="17">
        <v>0.808797795897092</v>
      </c>
      <c r="J8" s="9"/>
    </row>
    <row r="9" spans="1:10">
      <c r="A9" s="9"/>
      <c r="C9" s="15" t="s">
        <v>16</v>
      </c>
      <c r="D9" s="16">
        <v>457160</v>
      </c>
      <c r="E9" s="16">
        <v>323316</v>
      </c>
      <c r="F9" s="16">
        <v>414109.6</v>
      </c>
      <c r="G9" s="17">
        <v>0.41397270781526402</v>
      </c>
      <c r="H9" s="17">
        <v>0.103958951929634</v>
      </c>
      <c r="J9" s="9"/>
    </row>
    <row r="10" spans="1:10">
      <c r="A10" s="9"/>
      <c r="C10" s="15" t="s">
        <v>17</v>
      </c>
      <c r="D10" s="16">
        <v>326724.96000000002</v>
      </c>
      <c r="E10" s="16">
        <v>130362.72</v>
      </c>
      <c r="F10" s="16">
        <v>172898.64</v>
      </c>
      <c r="G10" s="17">
        <v>1.5062760273796101</v>
      </c>
      <c r="H10" s="17">
        <v>0.88969074597694897</v>
      </c>
      <c r="J10" s="9"/>
    </row>
    <row r="11" spans="1:10">
      <c r="A11" s="9"/>
      <c r="C11" s="15" t="s">
        <v>18</v>
      </c>
      <c r="D11" s="16">
        <v>316689.03999999998</v>
      </c>
      <c r="E11" s="16">
        <v>36042.239999999998</v>
      </c>
      <c r="F11" s="16">
        <v>200886.2</v>
      </c>
      <c r="G11" s="17">
        <v>7.7866081575396002</v>
      </c>
      <c r="H11" s="17">
        <v>0.57645990615582399</v>
      </c>
      <c r="J11" s="9"/>
    </row>
    <row r="12" spans="1:10">
      <c r="A12" s="9"/>
      <c r="C12" s="15" t="s">
        <v>19</v>
      </c>
      <c r="D12" s="16">
        <v>288850.40000000002</v>
      </c>
      <c r="E12" s="16">
        <v>131001.60000000001</v>
      </c>
      <c r="F12" s="16">
        <v>203040</v>
      </c>
      <c r="G12" s="17">
        <v>1.20493795495628</v>
      </c>
      <c r="H12" s="17">
        <v>0.42262805358549999</v>
      </c>
      <c r="J12" s="9"/>
    </row>
    <row r="13" spans="1:10">
      <c r="A13" s="9"/>
      <c r="C13" s="15" t="s">
        <v>20</v>
      </c>
      <c r="D13" s="16">
        <v>273448.40000000002</v>
      </c>
      <c r="E13" s="16">
        <v>131000</v>
      </c>
      <c r="F13" s="16">
        <v>742028.2</v>
      </c>
      <c r="G13" s="17">
        <v>1.08739236641221</v>
      </c>
      <c r="H13" s="17">
        <v>-0.63148516457999804</v>
      </c>
      <c r="J13" s="9"/>
    </row>
    <row r="14" spans="1:10">
      <c r="A14" s="9"/>
      <c r="C14" s="15" t="s">
        <v>21</v>
      </c>
      <c r="D14" s="16">
        <v>271419</v>
      </c>
      <c r="E14" s="16">
        <v>117600</v>
      </c>
      <c r="F14" s="16">
        <v>124220</v>
      </c>
      <c r="G14" s="17">
        <v>1.3079846938775499</v>
      </c>
      <c r="H14" s="17">
        <v>1.1849863146031201</v>
      </c>
      <c r="J14" s="9"/>
    </row>
    <row r="15" spans="1:10">
      <c r="A15" s="9"/>
      <c r="C15" s="15" t="s">
        <v>22</v>
      </c>
      <c r="D15" s="16">
        <v>208080</v>
      </c>
      <c r="E15" s="16">
        <v>173400</v>
      </c>
      <c r="F15" s="16"/>
      <c r="G15" s="17">
        <v>0.2</v>
      </c>
      <c r="H15" s="17"/>
      <c r="J15" s="9"/>
    </row>
    <row r="16" spans="1:10">
      <c r="A16" s="9"/>
      <c r="C16" s="15" t="s">
        <v>23</v>
      </c>
      <c r="D16" s="16">
        <v>207776.2</v>
      </c>
      <c r="E16" s="16">
        <v>74315.600000000006</v>
      </c>
      <c r="F16" s="16">
        <v>39453.4</v>
      </c>
      <c r="G16" s="17">
        <v>1.79586251069762</v>
      </c>
      <c r="H16" s="17">
        <v>4.2663699453025599</v>
      </c>
      <c r="J16" s="9"/>
    </row>
    <row r="17" spans="1:10">
      <c r="A17" s="9"/>
      <c r="C17" s="15" t="s">
        <v>24</v>
      </c>
      <c r="D17" s="16">
        <v>204553.92</v>
      </c>
      <c r="E17" s="16">
        <v>295337.40000000002</v>
      </c>
      <c r="F17" s="16">
        <v>107865.12</v>
      </c>
      <c r="G17" s="17">
        <v>-0.30738904046693699</v>
      </c>
      <c r="H17" s="17">
        <v>0.89638615337376903</v>
      </c>
      <c r="J17" s="9"/>
    </row>
    <row r="18" spans="1:10">
      <c r="A18" s="9"/>
      <c r="C18" s="15" t="s">
        <v>25</v>
      </c>
      <c r="D18" s="16">
        <v>196866</v>
      </c>
      <c r="E18" s="16">
        <v>322191.40000000002</v>
      </c>
      <c r="F18" s="16">
        <v>232410</v>
      </c>
      <c r="G18" s="17">
        <v>-0.38897810431935798</v>
      </c>
      <c r="H18" s="17">
        <v>-0.15293662062734001</v>
      </c>
      <c r="J18" s="9"/>
    </row>
    <row r="19" spans="1:10">
      <c r="A19" s="9"/>
      <c r="C19" s="15" t="s">
        <v>26</v>
      </c>
      <c r="D19" s="16">
        <v>196770</v>
      </c>
      <c r="E19" s="16">
        <v>75315.600000000006</v>
      </c>
      <c r="F19" s="16">
        <v>128908</v>
      </c>
      <c r="G19" s="17">
        <v>1.6126061533068801</v>
      </c>
      <c r="H19" s="17">
        <v>0.52643745927328001</v>
      </c>
      <c r="J19" s="9"/>
    </row>
    <row r="20" spans="1:10" ht="16.5" customHeight="1">
      <c r="A20" s="9"/>
      <c r="C20" s="15" t="s">
        <v>27</v>
      </c>
      <c r="D20" s="16">
        <v>179030</v>
      </c>
      <c r="E20" s="16">
        <v>822202.67299999995</v>
      </c>
      <c r="F20" s="16">
        <v>328999.59999999998</v>
      </c>
      <c r="G20" s="17">
        <v>-0.78225563370310303</v>
      </c>
      <c r="H20" s="17">
        <v>-0.45583520466286298</v>
      </c>
      <c r="J20" s="9"/>
    </row>
    <row r="21" spans="1:10" ht="16.5" customHeight="1">
      <c r="A21" s="9"/>
      <c r="C21" s="15" t="s">
        <v>28</v>
      </c>
      <c r="D21" s="16">
        <v>169684.56</v>
      </c>
      <c r="E21" s="16">
        <v>218206.8</v>
      </c>
      <c r="F21" s="16">
        <v>31521.439999999999</v>
      </c>
      <c r="G21" s="17">
        <v>-0.222368138848102</v>
      </c>
      <c r="H21" s="17">
        <v>4.3831474704201296</v>
      </c>
      <c r="J21" s="9"/>
    </row>
    <row r="22" spans="1:10" ht="16.5" customHeight="1">
      <c r="A22" s="9"/>
      <c r="C22" s="15" t="s">
        <v>29</v>
      </c>
      <c r="D22" s="16">
        <v>161160</v>
      </c>
      <c r="E22" s="16">
        <v>676305</v>
      </c>
      <c r="F22" s="16">
        <v>31680</v>
      </c>
      <c r="G22" s="17">
        <v>-0.76170514782531595</v>
      </c>
      <c r="H22" s="17">
        <v>4.0871212121212102</v>
      </c>
      <c r="J22" s="9"/>
    </row>
    <row r="23" spans="1:10" ht="16.5" customHeight="1">
      <c r="A23" s="9"/>
      <c r="C23" s="15" t="s">
        <v>30</v>
      </c>
      <c r="D23" s="16">
        <v>153420</v>
      </c>
      <c r="E23" s="16">
        <v>36150</v>
      </c>
      <c r="F23" s="16">
        <v>69457</v>
      </c>
      <c r="G23" s="17">
        <v>3.2439834024896301</v>
      </c>
      <c r="H23" s="17">
        <v>1.20884864016586</v>
      </c>
      <c r="J23" s="9"/>
    </row>
    <row r="24" spans="1:10" ht="16.5" customHeight="1">
      <c r="A24" s="9"/>
      <c r="C24" s="15" t="s">
        <v>31</v>
      </c>
      <c r="D24" s="16">
        <v>125857</v>
      </c>
      <c r="E24" s="16">
        <v>21663</v>
      </c>
      <c r="F24" s="16">
        <v>11088</v>
      </c>
      <c r="G24" s="17">
        <v>4.8097678068596199</v>
      </c>
      <c r="H24" s="17">
        <v>10.3507395382395</v>
      </c>
      <c r="J24" s="9"/>
    </row>
    <row r="25" spans="1:10" ht="16.5" customHeight="1">
      <c r="A25" s="9"/>
      <c r="C25" s="15" t="s">
        <v>32</v>
      </c>
      <c r="D25" s="16">
        <v>98181.36</v>
      </c>
      <c r="E25" s="16">
        <v>67949.7</v>
      </c>
      <c r="F25" s="16">
        <v>173580</v>
      </c>
      <c r="G25" s="17">
        <v>0.44491233956882797</v>
      </c>
      <c r="H25" s="17">
        <v>-0.43437400622191502</v>
      </c>
      <c r="J25" s="9"/>
    </row>
    <row r="26" spans="1:10" ht="16.5" customHeight="1">
      <c r="A26" s="9"/>
      <c r="C26" s="15" t="s">
        <v>33</v>
      </c>
      <c r="D26" s="16">
        <v>95703.360000000001</v>
      </c>
      <c r="E26" s="16">
        <v>36130.080000000002</v>
      </c>
      <c r="F26" s="16">
        <v>8380.7999999999993</v>
      </c>
      <c r="G26" s="17">
        <v>1.64885546890569</v>
      </c>
      <c r="H26" s="17">
        <v>10.419358533791501</v>
      </c>
      <c r="J26" s="9"/>
    </row>
    <row r="27" spans="1:10" ht="16.5" customHeight="1">
      <c r="A27" s="9"/>
      <c r="C27" s="15" t="s">
        <v>34</v>
      </c>
      <c r="D27" s="16">
        <v>91208.1</v>
      </c>
      <c r="E27" s="16">
        <v>77380.679999999993</v>
      </c>
      <c r="F27" s="16">
        <v>108799.2</v>
      </c>
      <c r="G27" s="17">
        <v>0.17869344130860601</v>
      </c>
      <c r="H27" s="17">
        <v>-0.16168409326539199</v>
      </c>
      <c r="J27" s="9"/>
    </row>
    <row r="28" spans="1:10" ht="16.5" customHeight="1">
      <c r="A28" s="9"/>
      <c r="C28" s="15" t="s">
        <v>35</v>
      </c>
      <c r="D28" s="16">
        <v>90375</v>
      </c>
      <c r="E28" s="16"/>
      <c r="F28" s="16">
        <v>30785</v>
      </c>
      <c r="G28" s="17"/>
      <c r="H28" s="17">
        <v>1.93568296248173</v>
      </c>
      <c r="J28" s="9"/>
    </row>
    <row r="29" spans="1:10" ht="16.5" customHeight="1">
      <c r="A29" s="9"/>
      <c r="C29" s="15" t="s">
        <v>36</v>
      </c>
      <c r="D29" s="16">
        <v>83791.821299999996</v>
      </c>
      <c r="E29" s="16">
        <v>51391.88</v>
      </c>
      <c r="F29" s="16">
        <v>141516.32</v>
      </c>
      <c r="G29" s="17">
        <v>0.63044864869703199</v>
      </c>
      <c r="H29" s="17">
        <v>-0.40789994185829598</v>
      </c>
      <c r="J29" s="9"/>
    </row>
    <row r="30" spans="1:10" ht="16.5" customHeight="1">
      <c r="A30" s="9"/>
      <c r="C30" s="15" t="s">
        <v>37</v>
      </c>
      <c r="D30" s="16">
        <v>79200</v>
      </c>
      <c r="E30" s="16">
        <v>21690</v>
      </c>
      <c r="F30" s="16">
        <v>672390</v>
      </c>
      <c r="G30" s="17">
        <v>2.6514522821576798</v>
      </c>
      <c r="H30" s="17">
        <v>-0.88221121670459102</v>
      </c>
      <c r="J30" s="9"/>
    </row>
    <row r="31" spans="1:10" ht="16.5" customHeight="1">
      <c r="A31" s="9"/>
      <c r="C31" s="15" t="s">
        <v>38</v>
      </c>
      <c r="D31" s="16">
        <v>74417.990000000005</v>
      </c>
      <c r="E31" s="16">
        <v>107863.73699999999</v>
      </c>
      <c r="F31" s="16">
        <v>5193.21</v>
      </c>
      <c r="G31" s="17">
        <v>-0.31007406131311799</v>
      </c>
      <c r="H31" s="17">
        <v>13.329863417808999</v>
      </c>
      <c r="J31" s="9"/>
    </row>
    <row r="32" spans="1:10" ht="16.5" customHeight="1">
      <c r="A32" s="9"/>
      <c r="C32" s="15" t="s">
        <v>39</v>
      </c>
      <c r="D32" s="16">
        <v>52138</v>
      </c>
      <c r="E32" s="16">
        <v>33120</v>
      </c>
      <c r="F32" s="16"/>
      <c r="G32" s="17">
        <v>0.57421497584541104</v>
      </c>
      <c r="H32" s="17"/>
      <c r="J32" s="9"/>
    </row>
    <row r="33" spans="1:10" ht="16.5" customHeight="1">
      <c r="A33" s="9"/>
      <c r="C33" s="15" t="s">
        <v>40</v>
      </c>
      <c r="D33" s="16">
        <v>48972</v>
      </c>
      <c r="E33" s="16">
        <v>80640</v>
      </c>
      <c r="F33" s="16">
        <v>114660</v>
      </c>
      <c r="G33" s="17">
        <v>-0.39270833333333299</v>
      </c>
      <c r="H33" s="17">
        <v>-0.57289377289377297</v>
      </c>
      <c r="J33" s="9"/>
    </row>
    <row r="34" spans="1:10" ht="16.5" customHeight="1">
      <c r="A34" s="9"/>
      <c r="C34" s="15" t="s">
        <v>41</v>
      </c>
      <c r="D34" s="16">
        <v>45752.4</v>
      </c>
      <c r="E34" s="16">
        <v>44928</v>
      </c>
      <c r="F34" s="16">
        <v>32557.8</v>
      </c>
      <c r="G34" s="17">
        <v>1.83493589743591E-2</v>
      </c>
      <c r="H34" s="17">
        <v>0.40526694064095198</v>
      </c>
      <c r="J34" s="9"/>
    </row>
    <row r="35" spans="1:10" ht="16.5" customHeight="1">
      <c r="A35" s="9"/>
      <c r="C35" s="15" t="s">
        <v>42</v>
      </c>
      <c r="D35" s="16">
        <v>43200</v>
      </c>
      <c r="E35" s="16">
        <v>28800</v>
      </c>
      <c r="F35" s="16"/>
      <c r="G35" s="17">
        <v>0.5</v>
      </c>
      <c r="H35" s="17"/>
      <c r="J35" s="9"/>
    </row>
    <row r="36" spans="1:10" ht="16.5" customHeight="1">
      <c r="A36" s="9"/>
      <c r="C36" s="15" t="s">
        <v>43</v>
      </c>
      <c r="D36" s="16">
        <v>39035</v>
      </c>
      <c r="E36" s="16">
        <v>13401</v>
      </c>
      <c r="F36" s="16">
        <v>12268</v>
      </c>
      <c r="G36" s="17">
        <v>1.9128423251996101</v>
      </c>
      <c r="H36" s="17">
        <v>2.1818552331268299</v>
      </c>
      <c r="J36" s="9"/>
    </row>
    <row r="37" spans="1:10" ht="16.5" customHeight="1">
      <c r="A37" s="9"/>
      <c r="C37" s="15" t="s">
        <v>44</v>
      </c>
      <c r="D37" s="16">
        <v>36270.639999999999</v>
      </c>
      <c r="E37" s="16">
        <v>28938.720000000001</v>
      </c>
      <c r="F37" s="16">
        <v>24452.37</v>
      </c>
      <c r="G37" s="17">
        <v>0.25336020390673802</v>
      </c>
      <c r="H37" s="17">
        <v>0.48331797694865603</v>
      </c>
      <c r="J37" s="9"/>
    </row>
    <row r="38" spans="1:10" ht="16.5" customHeight="1">
      <c r="A38" s="9"/>
      <c r="C38" s="15" t="s">
        <v>45</v>
      </c>
      <c r="D38" s="16">
        <v>32512.799999999999</v>
      </c>
      <c r="E38" s="16">
        <v>31008</v>
      </c>
      <c r="F38" s="16">
        <v>19276.8</v>
      </c>
      <c r="G38" s="17">
        <v>4.8529411764705897E-2</v>
      </c>
      <c r="H38" s="17">
        <v>0.68662848605577698</v>
      </c>
      <c r="J38" s="9"/>
    </row>
    <row r="39" spans="1:10" ht="16.5" customHeight="1">
      <c r="A39" s="9"/>
      <c r="C39" s="15" t="s">
        <v>46</v>
      </c>
      <c r="D39" s="16">
        <v>31056.6</v>
      </c>
      <c r="E39" s="16">
        <v>19212.599999999999</v>
      </c>
      <c r="F39" s="16">
        <v>14713.2</v>
      </c>
      <c r="G39" s="17">
        <v>0.61647044127291495</v>
      </c>
      <c r="H39" s="17">
        <v>1.11079846668298</v>
      </c>
      <c r="J39" s="9"/>
    </row>
    <row r="40" spans="1:10" ht="16.5" customHeight="1">
      <c r="A40" s="9"/>
      <c r="C40" s="15" t="s">
        <v>47</v>
      </c>
      <c r="D40" s="16">
        <v>29112</v>
      </c>
      <c r="E40" s="16">
        <v>9916.7999999999993</v>
      </c>
      <c r="F40" s="16">
        <v>7125.6</v>
      </c>
      <c r="G40" s="17">
        <v>1.93562439496612</v>
      </c>
      <c r="H40" s="17">
        <v>3.0855506904681702</v>
      </c>
      <c r="J40" s="9"/>
    </row>
    <row r="41" spans="1:10" ht="16.5" customHeight="1">
      <c r="A41" s="9"/>
      <c r="C41" s="15" t="s">
        <v>48</v>
      </c>
      <c r="D41" s="16">
        <v>23659.200000000001</v>
      </c>
      <c r="E41" s="16">
        <v>20731.2</v>
      </c>
      <c r="F41" s="16">
        <v>11640</v>
      </c>
      <c r="G41" s="17">
        <v>0.14123639731419299</v>
      </c>
      <c r="H41" s="17">
        <v>1.03257731958763</v>
      </c>
      <c r="J41" s="9"/>
    </row>
    <row r="42" spans="1:10" ht="16.5" customHeight="1">
      <c r="A42" s="9"/>
      <c r="C42" s="15" t="s">
        <v>49</v>
      </c>
      <c r="D42" s="16">
        <v>22112</v>
      </c>
      <c r="E42" s="16">
        <v>38016</v>
      </c>
      <c r="F42" s="16">
        <v>46173.599999999999</v>
      </c>
      <c r="G42" s="17">
        <v>-0.41835016835016797</v>
      </c>
      <c r="H42" s="17">
        <v>-0.52111163088864598</v>
      </c>
      <c r="J42" s="9"/>
    </row>
    <row r="43" spans="1:10" ht="16.5" customHeight="1">
      <c r="A43" s="9"/>
      <c r="C43" s="15" t="s">
        <v>50</v>
      </c>
      <c r="D43" s="16">
        <v>21000</v>
      </c>
      <c r="E43" s="16">
        <v>6019.2</v>
      </c>
      <c r="F43" s="16">
        <v>107061.2</v>
      </c>
      <c r="G43" s="17">
        <v>2.4888357256778302</v>
      </c>
      <c r="H43" s="17">
        <v>-0.80385050793377999</v>
      </c>
      <c r="J43" s="9"/>
    </row>
    <row r="44" spans="1:10" ht="16.5" customHeight="1">
      <c r="A44" s="9"/>
      <c r="C44" s="15" t="s">
        <v>51</v>
      </c>
      <c r="D44" s="16">
        <v>20683.2</v>
      </c>
      <c r="E44" s="16">
        <v>3645</v>
      </c>
      <c r="F44" s="16">
        <v>8396.4</v>
      </c>
      <c r="G44" s="17">
        <v>4.6744032921810703</v>
      </c>
      <c r="H44" s="17">
        <v>1.4633414320422999</v>
      </c>
      <c r="J44" s="9"/>
    </row>
    <row r="45" spans="1:10" ht="16.5" customHeight="1">
      <c r="A45" s="9"/>
      <c r="C45" s="15" t="s">
        <v>52</v>
      </c>
      <c r="D45" s="16">
        <v>20240</v>
      </c>
      <c r="E45" s="16">
        <v>19320</v>
      </c>
      <c r="F45" s="16">
        <v>19320</v>
      </c>
      <c r="G45" s="17">
        <v>4.76190476190477E-2</v>
      </c>
      <c r="H45" s="17">
        <v>4.76190476190477E-2</v>
      </c>
      <c r="J45" s="9"/>
    </row>
    <row r="46" spans="1:10" ht="16.5" customHeight="1">
      <c r="A46" s="9"/>
      <c r="C46" s="15" t="s">
        <v>53</v>
      </c>
      <c r="D46" s="16">
        <v>18255.36</v>
      </c>
      <c r="E46" s="16"/>
      <c r="F46" s="16"/>
      <c r="G46" s="17"/>
      <c r="H46" s="17"/>
      <c r="J46" s="9"/>
    </row>
    <row r="47" spans="1:10" ht="16.5" customHeight="1">
      <c r="A47" s="9"/>
      <c r="C47" s="15" t="s">
        <v>54</v>
      </c>
      <c r="D47" s="16">
        <v>17280</v>
      </c>
      <c r="E47" s="16">
        <v>17280</v>
      </c>
      <c r="F47" s="16"/>
      <c r="G47" s="17">
        <v>0</v>
      </c>
      <c r="H47" s="17"/>
      <c r="J47" s="9"/>
    </row>
    <row r="48" spans="1:10" ht="16.5" customHeight="1">
      <c r="A48" s="9"/>
      <c r="C48" s="15" t="s">
        <v>55</v>
      </c>
      <c r="D48" s="16">
        <v>17280</v>
      </c>
      <c r="E48" s="16"/>
      <c r="F48" s="16">
        <v>17280</v>
      </c>
      <c r="G48" s="17"/>
      <c r="H48" s="17">
        <v>0</v>
      </c>
      <c r="J48" s="9"/>
    </row>
    <row r="49" spans="1:10" ht="16.5" customHeight="1">
      <c r="A49" s="9"/>
      <c r="C49" s="15" t="s">
        <v>56</v>
      </c>
      <c r="D49" s="16">
        <v>14400</v>
      </c>
      <c r="E49" s="16"/>
      <c r="F49" s="16">
        <v>44640</v>
      </c>
      <c r="G49" s="17"/>
      <c r="H49" s="17">
        <v>-0.67741935483870996</v>
      </c>
      <c r="J49" s="9"/>
    </row>
    <row r="50" spans="1:10" ht="16.5" customHeight="1">
      <c r="A50" s="9"/>
      <c r="C50" s="15" t="s">
        <v>57</v>
      </c>
      <c r="D50" s="16">
        <v>13242.24</v>
      </c>
      <c r="E50" s="16"/>
      <c r="F50" s="16">
        <v>21590.7</v>
      </c>
      <c r="G50" s="17"/>
      <c r="H50" s="17">
        <v>-0.38666926037599503</v>
      </c>
      <c r="J50" s="9"/>
    </row>
    <row r="51" spans="1:10" ht="16.5" customHeight="1">
      <c r="A51" s="9"/>
      <c r="C51" s="15" t="s">
        <v>58</v>
      </c>
      <c r="D51" s="16">
        <v>11035.2</v>
      </c>
      <c r="E51" s="16"/>
      <c r="F51" s="16"/>
      <c r="G51" s="17"/>
      <c r="H51" s="17"/>
      <c r="J51" s="9"/>
    </row>
    <row r="52" spans="1:10" ht="16.5" customHeight="1">
      <c r="A52" s="9"/>
      <c r="C52" s="15" t="s">
        <v>59</v>
      </c>
      <c r="D52" s="16">
        <v>9660</v>
      </c>
      <c r="E52" s="16">
        <v>30660</v>
      </c>
      <c r="F52" s="16">
        <v>62219.4</v>
      </c>
      <c r="G52" s="17">
        <v>-0.68493150684931503</v>
      </c>
      <c r="H52" s="17">
        <v>-0.84474295798416599</v>
      </c>
      <c r="J52" s="9"/>
    </row>
    <row r="53" spans="1:10" ht="16.5" customHeight="1">
      <c r="A53" s="9"/>
      <c r="C53" s="15" t="s">
        <v>60</v>
      </c>
      <c r="D53" s="16">
        <v>8712</v>
      </c>
      <c r="E53" s="16">
        <v>14520</v>
      </c>
      <c r="F53" s="16">
        <v>20143.2</v>
      </c>
      <c r="G53" s="17">
        <v>-0.4</v>
      </c>
      <c r="H53" s="17">
        <v>-0.567496723460026</v>
      </c>
      <c r="J53" s="9"/>
    </row>
    <row r="54" spans="1:10" ht="16.5" customHeight="1">
      <c r="A54" s="9"/>
      <c r="C54" s="15" t="s">
        <v>61</v>
      </c>
      <c r="D54" s="16">
        <v>7350</v>
      </c>
      <c r="E54" s="16"/>
      <c r="F54" s="16"/>
      <c r="G54" s="17"/>
      <c r="H54" s="17"/>
      <c r="J54" s="9"/>
    </row>
    <row r="55" spans="1:10" ht="16.5" customHeight="1">
      <c r="A55" s="9"/>
      <c r="C55" s="15" t="s">
        <v>62</v>
      </c>
      <c r="D55" s="16">
        <v>6864</v>
      </c>
      <c r="E55" s="16">
        <v>9546</v>
      </c>
      <c r="F55" s="16">
        <v>48294.16</v>
      </c>
      <c r="G55" s="17">
        <v>-0.28095537397863002</v>
      </c>
      <c r="H55" s="17">
        <v>-0.85787101380373898</v>
      </c>
      <c r="J55" s="9"/>
    </row>
    <row r="56" spans="1:10" ht="16.5" customHeight="1">
      <c r="A56" s="9"/>
      <c r="C56" s="15" t="s">
        <v>63</v>
      </c>
      <c r="D56" s="16">
        <v>6754</v>
      </c>
      <c r="E56" s="16">
        <v>9741.6</v>
      </c>
      <c r="F56" s="16"/>
      <c r="G56" s="17">
        <v>-0.30668473351400199</v>
      </c>
      <c r="H56" s="17"/>
      <c r="J56" s="9"/>
    </row>
    <row r="57" spans="1:10" ht="16.5" customHeight="1">
      <c r="A57" s="9"/>
      <c r="C57" s="15" t="s">
        <v>64</v>
      </c>
      <c r="D57" s="16">
        <v>5860</v>
      </c>
      <c r="E57" s="16"/>
      <c r="F57" s="16"/>
      <c r="G57" s="17"/>
      <c r="H57" s="17"/>
      <c r="J57" s="9"/>
    </row>
    <row r="58" spans="1:10" ht="16.5" customHeight="1">
      <c r="A58" s="9"/>
      <c r="C58" s="15" t="s">
        <v>65</v>
      </c>
      <c r="D58" s="16">
        <v>5808</v>
      </c>
      <c r="E58" s="16"/>
      <c r="F58" s="16"/>
      <c r="G58" s="17"/>
      <c r="H58" s="17"/>
      <c r="J58" s="9"/>
    </row>
    <row r="59" spans="1:10" ht="16.5" customHeight="1">
      <c r="A59" s="9"/>
      <c r="C59" s="15" t="s">
        <v>66</v>
      </c>
      <c r="D59" s="16">
        <v>5760</v>
      </c>
      <c r="E59" s="16">
        <v>17544.36</v>
      </c>
      <c r="F59" s="16"/>
      <c r="G59" s="17">
        <v>-0.67168936341935503</v>
      </c>
      <c r="H59" s="17"/>
      <c r="J59" s="9"/>
    </row>
    <row r="60" spans="1:10" ht="16.5" customHeight="1">
      <c r="A60" s="9"/>
      <c r="C60" s="15" t="s">
        <v>67</v>
      </c>
      <c r="D60" s="16">
        <v>4815.3599999999997</v>
      </c>
      <c r="E60" s="16">
        <v>3534</v>
      </c>
      <c r="F60" s="16"/>
      <c r="G60" s="17">
        <v>0.36258064516129002</v>
      </c>
      <c r="H60" s="17"/>
      <c r="J60" s="9"/>
    </row>
    <row r="61" spans="1:10" ht="16.5" customHeight="1">
      <c r="A61" s="9"/>
      <c r="C61" s="15" t="s">
        <v>68</v>
      </c>
      <c r="D61" s="16">
        <v>2808</v>
      </c>
      <c r="E61" s="16">
        <v>14575</v>
      </c>
      <c r="F61" s="16">
        <v>18574</v>
      </c>
      <c r="G61" s="17">
        <v>-0.80734133790737606</v>
      </c>
      <c r="H61" s="17">
        <v>-0.848820932486271</v>
      </c>
      <c r="J61" s="9"/>
    </row>
    <row r="62" spans="1:10" ht="16.5" customHeight="1">
      <c r="A62" s="9"/>
      <c r="C62" s="15" t="s">
        <v>69</v>
      </c>
      <c r="D62" s="16">
        <v>2684.4</v>
      </c>
      <c r="E62" s="16"/>
      <c r="F62" s="16"/>
      <c r="G62" s="17"/>
      <c r="H62" s="17"/>
      <c r="J62" s="9"/>
    </row>
    <row r="63" spans="1:10" ht="16.5" customHeight="1">
      <c r="A63" s="9"/>
      <c r="C63" s="15" t="s">
        <v>70</v>
      </c>
      <c r="D63" s="16">
        <v>2407.6799999999998</v>
      </c>
      <c r="E63" s="16"/>
      <c r="F63" s="16">
        <v>2640</v>
      </c>
      <c r="G63" s="17"/>
      <c r="H63" s="17">
        <v>-8.8000000000000106E-2</v>
      </c>
      <c r="J63" s="9"/>
    </row>
    <row r="64" spans="1:10" ht="16.5" customHeight="1">
      <c r="A64" s="9"/>
      <c r="C64" s="15" t="s">
        <v>71</v>
      </c>
      <c r="D64" s="16">
        <v>2400</v>
      </c>
      <c r="E64" s="16">
        <v>16375</v>
      </c>
      <c r="F64" s="16">
        <v>5616</v>
      </c>
      <c r="G64" s="17">
        <v>-0.85343511450381704</v>
      </c>
      <c r="H64" s="17">
        <v>-0.57264957264957295</v>
      </c>
      <c r="J64" s="9"/>
    </row>
    <row r="65" spans="1:10" ht="16.5" customHeight="1">
      <c r="A65" s="9"/>
      <c r="C65" s="15" t="s">
        <v>72</v>
      </c>
      <c r="D65" s="16">
        <v>2347.1999999999998</v>
      </c>
      <c r="E65" s="16">
        <v>2652</v>
      </c>
      <c r="F65" s="16">
        <v>1720.8</v>
      </c>
      <c r="G65" s="17">
        <v>-0.114932126696833</v>
      </c>
      <c r="H65" s="17">
        <v>0.36401673640167398</v>
      </c>
      <c r="J65" s="9"/>
    </row>
    <row r="66" spans="1:10" ht="16.5" customHeight="1">
      <c r="A66" s="9"/>
      <c r="C66" s="15" t="s">
        <v>73</v>
      </c>
      <c r="D66" s="16">
        <v>2188.8000000000002</v>
      </c>
      <c r="E66" s="16">
        <v>5016</v>
      </c>
      <c r="F66" s="16">
        <v>15840</v>
      </c>
      <c r="G66" s="17">
        <v>-0.56363636363636405</v>
      </c>
      <c r="H66" s="17">
        <v>-0.86181818181818204</v>
      </c>
      <c r="J66" s="9"/>
    </row>
    <row r="67" spans="1:10" ht="16.5" customHeight="1">
      <c r="A67" s="9"/>
      <c r="C67" s="15" t="s">
        <v>74</v>
      </c>
      <c r="D67" s="16">
        <v>1790.4</v>
      </c>
      <c r="E67" s="16">
        <v>1440</v>
      </c>
      <c r="F67" s="16">
        <v>12880.8</v>
      </c>
      <c r="G67" s="17">
        <v>0.24333333333333301</v>
      </c>
      <c r="H67" s="17">
        <v>-0.86100242220980105</v>
      </c>
      <c r="J67" s="9"/>
    </row>
    <row r="68" spans="1:10" ht="16.5" customHeight="1">
      <c r="A68" s="9"/>
      <c r="C68" s="15" t="s">
        <v>75</v>
      </c>
      <c r="D68" s="16"/>
      <c r="E68" s="16"/>
      <c r="F68" s="16">
        <v>1584</v>
      </c>
      <c r="G68" s="17"/>
      <c r="H68" s="17">
        <v>-1</v>
      </c>
      <c r="J68" s="9"/>
    </row>
    <row r="69" spans="1:10" ht="16.5" customHeight="1">
      <c r="A69" s="9"/>
      <c r="C69" s="15" t="s">
        <v>76</v>
      </c>
      <c r="D69" s="16"/>
      <c r="E69" s="16">
        <v>287030.24</v>
      </c>
      <c r="F69" s="16">
        <v>289698.2</v>
      </c>
      <c r="G69" s="17">
        <v>-1</v>
      </c>
      <c r="H69" s="17">
        <v>-1</v>
      </c>
      <c r="J69" s="9"/>
    </row>
    <row r="70" spans="1:10" ht="16.5" customHeight="1">
      <c r="A70" s="9"/>
      <c r="C70" s="15" t="s">
        <v>77</v>
      </c>
      <c r="D70" s="16"/>
      <c r="E70" s="16">
        <v>2293.1999999999998</v>
      </c>
      <c r="F70" s="16"/>
      <c r="G70" s="17">
        <v>-1</v>
      </c>
      <c r="H70" s="17"/>
      <c r="J70" s="9"/>
    </row>
    <row r="71" spans="1:10" ht="16.5" customHeight="1">
      <c r="A71" s="9"/>
      <c r="C71" s="15" t="s">
        <v>78</v>
      </c>
      <c r="D71" s="16"/>
      <c r="E71" s="16"/>
      <c r="F71" s="16">
        <v>7401.6</v>
      </c>
      <c r="G71" s="17"/>
      <c r="H71" s="17">
        <v>-1</v>
      </c>
      <c r="J71" s="9"/>
    </row>
    <row r="72" spans="1:10" ht="16.5" customHeight="1">
      <c r="A72" s="9"/>
      <c r="C72" s="15" t="s">
        <v>79</v>
      </c>
      <c r="D72" s="16"/>
      <c r="E72" s="16"/>
      <c r="F72" s="16">
        <v>2073.6</v>
      </c>
      <c r="G72" s="17"/>
      <c r="H72" s="17">
        <v>-1</v>
      </c>
      <c r="J72" s="9"/>
    </row>
    <row r="73" spans="1:10" ht="16.5" customHeight="1">
      <c r="A73" s="9"/>
      <c r="C73" s="15" t="s">
        <v>80</v>
      </c>
      <c r="D73" s="16"/>
      <c r="E73" s="16"/>
      <c r="F73" s="16">
        <v>83500</v>
      </c>
      <c r="G73" s="17"/>
      <c r="H73" s="17">
        <v>-1</v>
      </c>
      <c r="J73" s="9"/>
    </row>
    <row r="74" spans="1:10" ht="16.5" customHeight="1">
      <c r="A74" s="9"/>
      <c r="C74" s="15" t="s">
        <v>81</v>
      </c>
      <c r="D74" s="16"/>
      <c r="E74" s="16"/>
      <c r="F74" s="16">
        <v>2715.6</v>
      </c>
      <c r="G74" s="17"/>
      <c r="H74" s="17">
        <v>-1</v>
      </c>
      <c r="J74" s="9"/>
    </row>
    <row r="75" spans="1:10" ht="16.5" customHeight="1">
      <c r="A75" s="9"/>
      <c r="C75" s="15" t="s">
        <v>82</v>
      </c>
      <c r="D75" s="16"/>
      <c r="E75" s="16"/>
      <c r="F75" s="16">
        <v>19731.599999999999</v>
      </c>
      <c r="G75" s="17"/>
      <c r="H75" s="17">
        <v>-1</v>
      </c>
      <c r="J75" s="9"/>
    </row>
    <row r="76" spans="1:10" ht="16.5" customHeight="1">
      <c r="A76" s="9"/>
      <c r="C76" s="15" t="s">
        <v>83</v>
      </c>
      <c r="D76" s="16"/>
      <c r="E76" s="16"/>
      <c r="F76" s="16">
        <v>7350</v>
      </c>
      <c r="G76" s="17"/>
      <c r="H76" s="17">
        <v>-1</v>
      </c>
      <c r="J76" s="9"/>
    </row>
    <row r="77" spans="1:10" ht="16.5" customHeight="1">
      <c r="A77" s="9"/>
      <c r="C77" s="15" t="s">
        <v>84</v>
      </c>
      <c r="D77" s="16"/>
      <c r="E77" s="16"/>
      <c r="F77" s="16">
        <v>23832</v>
      </c>
      <c r="G77" s="17"/>
      <c r="H77" s="17">
        <v>-1</v>
      </c>
      <c r="J77" s="9"/>
    </row>
    <row r="78" spans="1:10" ht="16.5" customHeight="1">
      <c r="A78" s="9"/>
      <c r="C78" s="15" t="s">
        <v>85</v>
      </c>
      <c r="D78" s="16"/>
      <c r="E78" s="16">
        <v>23659.200000000001</v>
      </c>
      <c r="F78" s="16"/>
      <c r="G78" s="17">
        <v>-1</v>
      </c>
      <c r="H78" s="17"/>
      <c r="J78" s="9"/>
    </row>
    <row r="79" spans="1:10" ht="16.5" customHeight="1">
      <c r="A79" s="9"/>
      <c r="C79" s="15" t="s">
        <v>86</v>
      </c>
      <c r="D79" s="16"/>
      <c r="E79" s="16">
        <v>2112</v>
      </c>
      <c r="F79" s="16">
        <v>2534.4</v>
      </c>
      <c r="G79" s="17">
        <v>-1</v>
      </c>
      <c r="H79" s="17">
        <v>-1</v>
      </c>
      <c r="J79" s="9"/>
    </row>
    <row r="80" spans="1:10" ht="16.5" customHeight="1">
      <c r="A80" s="9"/>
      <c r="C80" s="15" t="s">
        <v>87</v>
      </c>
      <c r="D80" s="16"/>
      <c r="E80" s="16">
        <v>3186</v>
      </c>
      <c r="F80" s="16">
        <v>3924</v>
      </c>
      <c r="G80" s="17">
        <v>-1</v>
      </c>
      <c r="H80" s="17">
        <v>-1</v>
      </c>
      <c r="J80" s="9"/>
    </row>
    <row r="81" spans="1:10" ht="16.5" customHeight="1">
      <c r="A81" s="9"/>
      <c r="C81" s="15" t="s">
        <v>88</v>
      </c>
      <c r="D81" s="16"/>
      <c r="E81" s="16"/>
      <c r="F81" s="16">
        <v>47520</v>
      </c>
      <c r="G81" s="17"/>
      <c r="H81" s="17">
        <v>-1</v>
      </c>
      <c r="J81" s="9"/>
    </row>
    <row r="82" spans="1:10" ht="16.5" customHeight="1">
      <c r="A82" s="9"/>
      <c r="C82" s="15" t="s">
        <v>89</v>
      </c>
      <c r="D82" s="16"/>
      <c r="E82" s="16">
        <v>12000</v>
      </c>
      <c r="F82" s="16"/>
      <c r="G82" s="17">
        <v>-1</v>
      </c>
      <c r="H82" s="17"/>
      <c r="J82" s="9"/>
    </row>
    <row r="83" spans="1:10" ht="16.5" customHeight="1">
      <c r="A83" s="9"/>
      <c r="C83" s="15" t="s">
        <v>90</v>
      </c>
      <c r="D83" s="16"/>
      <c r="E83" s="16"/>
      <c r="F83" s="16">
        <v>6969.6</v>
      </c>
      <c r="G83" s="17"/>
      <c r="H83" s="17">
        <v>-1</v>
      </c>
      <c r="J83" s="9"/>
    </row>
    <row r="84" spans="1:10" ht="16.5" customHeight="1">
      <c r="A84" s="9"/>
      <c r="C84" s="15" t="s">
        <v>91</v>
      </c>
      <c r="D84" s="16"/>
      <c r="E84" s="16">
        <v>11400</v>
      </c>
      <c r="F84" s="16">
        <v>11308.8</v>
      </c>
      <c r="G84" s="17">
        <v>-1</v>
      </c>
      <c r="H84" s="17">
        <v>-1</v>
      </c>
      <c r="J84" s="9"/>
    </row>
    <row r="85" spans="1:10" ht="16.5" customHeight="1">
      <c r="A85" s="9"/>
      <c r="C85" s="15" t="s">
        <v>92</v>
      </c>
      <c r="D85" s="16"/>
      <c r="E85" s="16">
        <v>2208.6</v>
      </c>
      <c r="F85" s="16"/>
      <c r="G85" s="17">
        <v>-1</v>
      </c>
      <c r="H85" s="17"/>
      <c r="J85" s="9"/>
    </row>
    <row r="86" spans="1:10" ht="16.5" customHeight="1">
      <c r="A86" s="9"/>
      <c r="C86" s="15" t="s">
        <v>93</v>
      </c>
      <c r="D86" s="16"/>
      <c r="E86" s="16">
        <v>6619.2</v>
      </c>
      <c r="F86" s="16"/>
      <c r="G86" s="17">
        <v>-1</v>
      </c>
      <c r="H86" s="17"/>
      <c r="J86" s="9"/>
    </row>
    <row r="87" spans="1:10" ht="16.5" customHeight="1">
      <c r="A87" s="9"/>
      <c r="C87" s="15" t="s">
        <v>94</v>
      </c>
      <c r="D87" s="16"/>
      <c r="E87" s="16"/>
      <c r="F87" s="16">
        <v>15220</v>
      </c>
      <c r="G87" s="17"/>
      <c r="H87" s="17">
        <v>-1</v>
      </c>
      <c r="J87" s="9"/>
    </row>
    <row r="88" spans="1:10" ht="16.5" customHeight="1">
      <c r="A88" s="9"/>
      <c r="C88" s="15" t="s">
        <v>95</v>
      </c>
      <c r="D88" s="16"/>
      <c r="E88" s="16">
        <v>33262.080000000002</v>
      </c>
      <c r="F88" s="16">
        <v>22380</v>
      </c>
      <c r="G88" s="17">
        <v>-1</v>
      </c>
      <c r="H88" s="17">
        <v>-1</v>
      </c>
      <c r="J88" s="9"/>
    </row>
    <row r="89" spans="1:10" ht="16.5" customHeight="1">
      <c r="A89" s="9"/>
      <c r="C89" s="15" t="s">
        <v>96</v>
      </c>
      <c r="D89" s="16"/>
      <c r="E89" s="16">
        <v>181663.2</v>
      </c>
      <c r="F89" s="16">
        <v>146506</v>
      </c>
      <c r="G89" s="17">
        <v>-1</v>
      </c>
      <c r="H89" s="17">
        <v>-1</v>
      </c>
      <c r="J89" s="9"/>
    </row>
    <row r="90" spans="1:10" ht="16.5" customHeight="1">
      <c r="A90" s="9"/>
      <c r="C90" s="15" t="s">
        <v>97</v>
      </c>
      <c r="D90" s="16"/>
      <c r="E90" s="16">
        <v>36885</v>
      </c>
      <c r="F90" s="16">
        <v>247058.7</v>
      </c>
      <c r="G90" s="17">
        <v>-1</v>
      </c>
      <c r="H90" s="17">
        <v>-1</v>
      </c>
      <c r="J90" s="9"/>
    </row>
    <row r="91" spans="1:10" ht="16.5" customHeight="1">
      <c r="A91" s="9"/>
      <c r="C91" s="15" t="s">
        <v>98</v>
      </c>
      <c r="D91" s="16"/>
      <c r="E91" s="16">
        <v>12600</v>
      </c>
      <c r="F91" s="16"/>
      <c r="G91" s="17">
        <v>-1</v>
      </c>
      <c r="H91" s="17"/>
      <c r="J91" s="9"/>
    </row>
    <row r="92" spans="1:10" ht="16.5" customHeight="1">
      <c r="A92" s="9"/>
      <c r="C92" s="15" t="s">
        <v>99</v>
      </c>
      <c r="D92" s="16"/>
      <c r="E92" s="16">
        <v>601</v>
      </c>
      <c r="F92" s="16">
        <v>450.66</v>
      </c>
      <c r="G92" s="17">
        <v>-1</v>
      </c>
      <c r="H92" s="17">
        <v>-1</v>
      </c>
      <c r="J92" s="9"/>
    </row>
    <row r="93" spans="1:10" ht="16.5" customHeight="1">
      <c r="A93" s="9"/>
      <c r="C93" s="2" t="s">
        <v>8</v>
      </c>
      <c r="D93" s="12">
        <f>SUBTOTAL(109,PaisPesoAcumulado['[CY']])</f>
        <v>6842037.0553000011</v>
      </c>
      <c r="E93" s="12">
        <f>SUBTOTAL(109,PaisPesoAcumulado['[LY']])</f>
        <v>7490670.5899999999</v>
      </c>
      <c r="F93" s="12">
        <f>SUBTOTAL(109,PaisPesoAcumulado['[2YA']])</f>
        <v>7393993.7800000003</v>
      </c>
      <c r="G93" s="8">
        <f>PaisPesoAcumulado[[#Totals],['[CY']]]/PaisPesoAcumulado[[#Totals],['[LY']]]-1</f>
        <v>-8.659218515975331E-2</v>
      </c>
      <c r="H93" s="8">
        <f>PaisPesoAcumulado[[#Totals],['[CY']]]/PaisPesoAcumulado[[#Totals],['[2YA']]]-1</f>
        <v>-7.464933581537303E-2</v>
      </c>
      <c r="J93" s="9"/>
    </row>
    <row r="94" spans="1:10" ht="16.5" customHeight="1">
      <c r="A94" s="9"/>
      <c r="C94" s="7" t="s">
        <v>9</v>
      </c>
      <c r="J94" s="9"/>
    </row>
    <row r="95" spans="1:10" ht="16.5" customHeight="1">
      <c r="A95" s="9"/>
      <c r="J95" s="9"/>
    </row>
    <row r="96" spans="1:10" ht="16.5" customHeight="1">
      <c r="A96" s="9"/>
      <c r="C96" s="1" t="str" cm="1">
        <f t="array" ref="C96:H105">_xlfn._xlws.SORT(_xlfn._xlws.FILTER(PaisPesoAcumulado[],PaisPesoAcumulado['[CY']]&gt;=LARGE(PaisPesoAcumulado['[CY']],10)),2,1)</f>
        <v>Emirados Árabes Unidos</v>
      </c>
      <c r="D96" s="1">
        <v>207776.2</v>
      </c>
      <c r="E96" s="1">
        <v>74315.600000000006</v>
      </c>
      <c r="F96" s="1">
        <v>39453.4</v>
      </c>
      <c r="G96" s="1">
        <v>1.79586251069762</v>
      </c>
      <c r="H96" s="1">
        <v>4.2663699453025599</v>
      </c>
      <c r="J96" s="9"/>
    </row>
    <row r="97" spans="1:10" ht="16.5" customHeight="1">
      <c r="A97" s="9"/>
      <c r="C97" s="1" t="str">
        <v>Indonésia</v>
      </c>
      <c r="D97" s="1">
        <v>208080</v>
      </c>
      <c r="E97" s="1">
        <v>173400</v>
      </c>
      <c r="F97" s="1">
        <v>0</v>
      </c>
      <c r="G97" s="1">
        <v>0.2</v>
      </c>
      <c r="H97" s="1">
        <v>0</v>
      </c>
      <c r="J97" s="9"/>
    </row>
    <row r="98" spans="1:10" ht="16.5" customHeight="1">
      <c r="A98" s="9"/>
      <c r="C98" s="1" t="str">
        <v>Alemanha</v>
      </c>
      <c r="D98" s="1">
        <v>271419</v>
      </c>
      <c r="E98" s="1">
        <v>117600</v>
      </c>
      <c r="F98" s="1">
        <v>124220</v>
      </c>
      <c r="G98" s="1">
        <v>1.3079846938775499</v>
      </c>
      <c r="H98" s="1">
        <v>1.1849863146031201</v>
      </c>
      <c r="J98" s="9"/>
    </row>
    <row r="99" spans="1:10" ht="16.5" customHeight="1">
      <c r="A99" s="9"/>
      <c r="C99" s="1" t="str">
        <v>Rússia</v>
      </c>
      <c r="D99" s="1">
        <v>273448.40000000002</v>
      </c>
      <c r="E99" s="1">
        <v>131000</v>
      </c>
      <c r="F99" s="1">
        <v>742028.2</v>
      </c>
      <c r="G99" s="1">
        <v>1.08739236641221</v>
      </c>
      <c r="H99" s="1">
        <v>-0.63148516457999804</v>
      </c>
      <c r="J99" s="9"/>
    </row>
    <row r="100" spans="1:10" ht="16.5" customHeight="1">
      <c r="A100" s="9"/>
      <c r="C100" s="1" t="str">
        <v>Países Baixos (Holanda)</v>
      </c>
      <c r="D100" s="1">
        <v>288850.40000000002</v>
      </c>
      <c r="E100" s="1">
        <v>131001.60000000001</v>
      </c>
      <c r="F100" s="1">
        <v>203040</v>
      </c>
      <c r="G100" s="1">
        <v>1.20493795495628</v>
      </c>
      <c r="H100" s="1">
        <v>0.42262805358549999</v>
      </c>
      <c r="J100" s="9"/>
    </row>
    <row r="101" spans="1:10" ht="16.5" customHeight="1">
      <c r="A101" s="9"/>
      <c r="C101" s="1" t="str">
        <v>Chile</v>
      </c>
      <c r="D101" s="1">
        <v>316689.03999999998</v>
      </c>
      <c r="E101" s="1">
        <v>36042.239999999998</v>
      </c>
      <c r="F101" s="1">
        <v>200886.2</v>
      </c>
      <c r="G101" s="1">
        <v>7.7866081575396002</v>
      </c>
      <c r="H101" s="1">
        <v>0.57645990615582399</v>
      </c>
      <c r="J101" s="9"/>
    </row>
    <row r="102" spans="1:10" ht="16.5" customHeight="1">
      <c r="A102" s="9"/>
      <c r="C102" s="1" t="str">
        <v>Peru</v>
      </c>
      <c r="D102" s="1">
        <v>326724.96000000002</v>
      </c>
      <c r="E102" s="1">
        <v>130362.72</v>
      </c>
      <c r="F102" s="1">
        <v>172898.64</v>
      </c>
      <c r="G102" s="1">
        <v>1.5062760273796101</v>
      </c>
      <c r="H102" s="1">
        <v>0.88969074597694897</v>
      </c>
      <c r="J102" s="9"/>
    </row>
    <row r="103" spans="1:10" ht="16.5" customHeight="1">
      <c r="A103" s="9"/>
      <c r="C103" s="1" t="str">
        <v>Japão</v>
      </c>
      <c r="D103" s="1">
        <v>457160</v>
      </c>
      <c r="E103" s="1">
        <v>323316</v>
      </c>
      <c r="F103" s="1">
        <v>414109.6</v>
      </c>
      <c r="G103" s="1">
        <v>0.41397270781526402</v>
      </c>
      <c r="H103" s="1">
        <v>0.103958951929634</v>
      </c>
      <c r="J103" s="9"/>
    </row>
    <row r="104" spans="1:10" ht="16.5" customHeight="1">
      <c r="A104" s="9"/>
      <c r="C104" s="1" t="str">
        <v>Polônia</v>
      </c>
      <c r="D104" s="1">
        <v>485825</v>
      </c>
      <c r="E104" s="1">
        <v>276049</v>
      </c>
      <c r="F104" s="1">
        <v>268590</v>
      </c>
      <c r="G104" s="1">
        <v>0.75992305713840702</v>
      </c>
      <c r="H104" s="1">
        <v>0.808797795897092</v>
      </c>
      <c r="J104" s="9"/>
    </row>
    <row r="105" spans="1:10" ht="16.5" customHeight="1">
      <c r="A105" s="9"/>
      <c r="C105" s="1" t="str">
        <v>Estados Unidos</v>
      </c>
      <c r="D105" s="1">
        <v>1370398.4639999999</v>
      </c>
      <c r="E105" s="1">
        <v>2131705.2799999998</v>
      </c>
      <c r="F105" s="1">
        <v>1515351.26</v>
      </c>
      <c r="G105" s="1">
        <v>-0.35713511766504602</v>
      </c>
      <c r="H105" s="1">
        <v>-9.5656234845510196E-2</v>
      </c>
      <c r="J105" s="9"/>
    </row>
    <row r="106" spans="1:10" ht="16.5" customHeight="1">
      <c r="A106" s="9"/>
      <c r="J106" s="9"/>
    </row>
    <row r="107" spans="1:10" ht="16.5" customHeight="1">
      <c r="A107" s="9"/>
      <c r="J107" s="9"/>
    </row>
    <row r="108" spans="1:10" ht="16.5" customHeight="1">
      <c r="A108" s="9"/>
      <c r="J108" s="9"/>
    </row>
    <row r="109" spans="1:10" ht="16.5" customHeight="1">
      <c r="A109" s="9"/>
      <c r="J109" s="9"/>
    </row>
    <row r="110" spans="1:10" ht="16.5" customHeight="1">
      <c r="A110" s="9"/>
      <c r="J110" s="9"/>
    </row>
    <row r="111" spans="1:10" ht="16.5" customHeight="1">
      <c r="A111" s="9"/>
      <c r="C111" s="6" t="s">
        <v>10</v>
      </c>
      <c r="J111" s="9"/>
    </row>
    <row r="112" spans="1:10" ht="16.5" customHeight="1">
      <c r="A112" s="9"/>
      <c r="C112" s="3" t="s">
        <v>13</v>
      </c>
      <c r="D112" s="4" t="str" cm="1">
        <f t="array" ref="D112:H112">D6:H6</f>
        <v>jan-jan/2024</v>
      </c>
      <c r="E112" s="4" t="str">
        <v>jan-jan/2023</v>
      </c>
      <c r="F112" s="4" t="str">
        <v>jan-jan/2022</v>
      </c>
      <c r="G112" s="4" t="str">
        <v>2024x2023</v>
      </c>
      <c r="H112" s="4" t="str">
        <v>2024x2022</v>
      </c>
      <c r="J112" s="9"/>
    </row>
    <row r="113" spans="1:10" ht="16.5" customHeight="1">
      <c r="A113" s="9"/>
      <c r="C113" s="15" t="s">
        <v>14</v>
      </c>
      <c r="D113" s="16">
        <v>59389</v>
      </c>
      <c r="E113" s="16">
        <v>92343</v>
      </c>
      <c r="F113" s="16">
        <v>65651</v>
      </c>
      <c r="G113" s="17">
        <v>-0.35686516574077098</v>
      </c>
      <c r="H113" s="17">
        <v>-9.5383162480388695E-2</v>
      </c>
      <c r="J113" s="9"/>
    </row>
    <row r="114" spans="1:10" ht="16.5" customHeight="1">
      <c r="A114" s="9"/>
      <c r="C114" s="15" t="s">
        <v>15</v>
      </c>
      <c r="D114" s="16">
        <v>21058</v>
      </c>
      <c r="E114" s="16">
        <v>11952</v>
      </c>
      <c r="F114" s="16">
        <v>11645</v>
      </c>
      <c r="G114" s="17">
        <v>0.76188085676037498</v>
      </c>
      <c r="H114" s="17">
        <v>0.80832975525976802</v>
      </c>
      <c r="J114" s="9"/>
    </row>
    <row r="115" spans="1:10" ht="16.5" customHeight="1">
      <c r="A115" s="9"/>
      <c r="C115" s="15" t="s">
        <v>16</v>
      </c>
      <c r="D115" s="16">
        <v>19811</v>
      </c>
      <c r="E115" s="16">
        <v>14008</v>
      </c>
      <c r="F115" s="16">
        <v>17946</v>
      </c>
      <c r="G115" s="17">
        <v>0.41426327812678498</v>
      </c>
      <c r="H115" s="17">
        <v>0.103922879750362</v>
      </c>
      <c r="J115" s="9"/>
    </row>
    <row r="116" spans="1:10" ht="16.5" customHeight="1">
      <c r="A116" s="9"/>
      <c r="C116" s="15" t="s">
        <v>17</v>
      </c>
      <c r="D116" s="16">
        <v>14158</v>
      </c>
      <c r="E116" s="16">
        <v>5644</v>
      </c>
      <c r="F116" s="16">
        <v>7494</v>
      </c>
      <c r="G116" s="17">
        <v>1.5085046066619401</v>
      </c>
      <c r="H116" s="17">
        <v>0.889244729116627</v>
      </c>
      <c r="J116" s="9"/>
    </row>
    <row r="117" spans="1:10" ht="16.5" customHeight="1">
      <c r="A117" s="9"/>
      <c r="C117" s="15" t="s">
        <v>18</v>
      </c>
      <c r="D117" s="16">
        <v>13418</v>
      </c>
      <c r="E117" s="16">
        <v>1560</v>
      </c>
      <c r="F117" s="16">
        <v>8702</v>
      </c>
      <c r="G117" s="17">
        <v>7.60128205128205</v>
      </c>
      <c r="H117" s="17">
        <v>0.54194438060215999</v>
      </c>
      <c r="J117" s="9"/>
    </row>
    <row r="118" spans="1:10" ht="16.5" customHeight="1">
      <c r="A118" s="9"/>
      <c r="C118" s="15" t="s">
        <v>19</v>
      </c>
      <c r="D118" s="16">
        <v>12517</v>
      </c>
      <c r="E118" s="16">
        <v>5675</v>
      </c>
      <c r="F118" s="16">
        <v>8798</v>
      </c>
      <c r="G118" s="17">
        <v>1.20563876651982</v>
      </c>
      <c r="H118" s="17">
        <v>0.42270970675153402</v>
      </c>
      <c r="J118" s="9"/>
    </row>
    <row r="119" spans="1:10" ht="16.5" customHeight="1">
      <c r="A119" s="9"/>
      <c r="C119" s="15" t="s">
        <v>20</v>
      </c>
      <c r="D119" s="16">
        <v>11848</v>
      </c>
      <c r="E119" s="16">
        <v>5676</v>
      </c>
      <c r="F119" s="16">
        <v>32159</v>
      </c>
      <c r="G119" s="17">
        <v>1.0873854827343199</v>
      </c>
      <c r="H119" s="17">
        <v>-0.63158058397338201</v>
      </c>
      <c r="J119" s="9"/>
    </row>
    <row r="120" spans="1:10" ht="16.5" customHeight="1">
      <c r="A120" s="9"/>
      <c r="C120" s="15" t="s">
        <v>21</v>
      </c>
      <c r="D120" s="16">
        <v>11763</v>
      </c>
      <c r="E120" s="16">
        <v>5097</v>
      </c>
      <c r="F120" s="16">
        <v>5384</v>
      </c>
      <c r="G120" s="17">
        <v>1.3078281341965901</v>
      </c>
      <c r="H120" s="17">
        <v>1.1848068350668599</v>
      </c>
      <c r="J120" s="9"/>
    </row>
    <row r="121" spans="1:10" ht="16.5" customHeight="1">
      <c r="A121" s="9"/>
      <c r="C121" s="15" t="s">
        <v>22</v>
      </c>
      <c r="D121" s="16">
        <v>9017</v>
      </c>
      <c r="E121" s="16">
        <v>7514</v>
      </c>
      <c r="F121" s="16"/>
      <c r="G121" s="17">
        <v>0.20002661698163399</v>
      </c>
      <c r="H121" s="17"/>
      <c r="J121" s="9"/>
    </row>
    <row r="122" spans="1:10" ht="16.5" customHeight="1">
      <c r="A122" s="9"/>
      <c r="C122" s="15" t="s">
        <v>23</v>
      </c>
      <c r="D122" s="16">
        <v>9001</v>
      </c>
      <c r="E122" s="16">
        <v>3217</v>
      </c>
      <c r="F122" s="16">
        <v>1710</v>
      </c>
      <c r="G122" s="17">
        <v>1.7979483991296199</v>
      </c>
      <c r="H122" s="17">
        <v>4.2637426900584803</v>
      </c>
      <c r="J122" s="9"/>
    </row>
    <row r="123" spans="1:10" ht="16.5" customHeight="1">
      <c r="A123" s="9"/>
      <c r="C123" s="15" t="s">
        <v>24</v>
      </c>
      <c r="D123" s="16">
        <v>8864</v>
      </c>
      <c r="E123" s="16">
        <v>12793</v>
      </c>
      <c r="F123" s="16">
        <v>4673</v>
      </c>
      <c r="G123" s="17">
        <v>-0.307121081841632</v>
      </c>
      <c r="H123" s="17">
        <v>0.89685426920607703</v>
      </c>
      <c r="J123" s="9"/>
    </row>
    <row r="124" spans="1:10" ht="16.5" customHeight="1">
      <c r="A124" s="9"/>
      <c r="C124" s="15" t="s">
        <v>25</v>
      </c>
      <c r="D124" s="16">
        <v>8531</v>
      </c>
      <c r="E124" s="16">
        <v>13954</v>
      </c>
      <c r="F124" s="16">
        <v>10081</v>
      </c>
      <c r="G124" s="17">
        <v>-0.388634083416941</v>
      </c>
      <c r="H124" s="17">
        <v>-0.15375458783850801</v>
      </c>
      <c r="J124" s="9"/>
    </row>
    <row r="125" spans="1:10" ht="16.5" customHeight="1">
      <c r="A125" s="9"/>
      <c r="C125" s="15" t="s">
        <v>26</v>
      </c>
      <c r="D125" s="16">
        <v>8527</v>
      </c>
      <c r="E125" s="16">
        <v>3264</v>
      </c>
      <c r="F125" s="16">
        <v>5587</v>
      </c>
      <c r="G125" s="17">
        <v>1.6124387254902</v>
      </c>
      <c r="H125" s="17">
        <v>0.52622158582423495</v>
      </c>
      <c r="J125" s="9"/>
    </row>
    <row r="126" spans="1:10" ht="16.5" customHeight="1">
      <c r="A126" s="9"/>
      <c r="C126" s="15" t="s">
        <v>28</v>
      </c>
      <c r="D126" s="16">
        <v>7109</v>
      </c>
      <c r="E126" s="16">
        <v>9450</v>
      </c>
      <c r="F126" s="16">
        <v>1366</v>
      </c>
      <c r="G126" s="17">
        <v>-0.24772486772486799</v>
      </c>
      <c r="H126" s="17">
        <v>4.2042459736456799</v>
      </c>
      <c r="J126" s="9"/>
    </row>
    <row r="127" spans="1:10" ht="16.5" customHeight="1">
      <c r="A127" s="9"/>
      <c r="C127" s="15" t="s">
        <v>29</v>
      </c>
      <c r="D127" s="16">
        <v>6982</v>
      </c>
      <c r="E127" s="16">
        <v>29295</v>
      </c>
      <c r="F127" s="16">
        <v>1372</v>
      </c>
      <c r="G127" s="17">
        <v>-0.76166581327871696</v>
      </c>
      <c r="H127" s="17">
        <v>4.0889212827988297</v>
      </c>
      <c r="J127" s="9"/>
    </row>
    <row r="128" spans="1:10" ht="16.5" customHeight="1">
      <c r="A128" s="9"/>
      <c r="C128" s="15" t="s">
        <v>30</v>
      </c>
      <c r="D128" s="16">
        <v>6648</v>
      </c>
      <c r="E128" s="16">
        <v>1566</v>
      </c>
      <c r="F128" s="16">
        <v>3011</v>
      </c>
      <c r="G128" s="17">
        <v>3.2452107279693498</v>
      </c>
      <c r="H128" s="17">
        <v>1.2079043507140499</v>
      </c>
      <c r="J128" s="9"/>
    </row>
    <row r="129" spans="1:10" ht="16.5" customHeight="1">
      <c r="A129" s="9"/>
      <c r="C129" s="15" t="s">
        <v>27</v>
      </c>
      <c r="D129" s="16">
        <v>6212</v>
      </c>
      <c r="E129" s="16">
        <v>35639</v>
      </c>
      <c r="F129" s="16">
        <v>14251</v>
      </c>
      <c r="G129" s="17">
        <v>-0.82569656836611605</v>
      </c>
      <c r="H129" s="17">
        <v>-0.56410076485860605</v>
      </c>
      <c r="J129" s="9"/>
    </row>
    <row r="130" spans="1:10" ht="16.5" customHeight="1">
      <c r="A130" s="9"/>
      <c r="C130" s="15" t="s">
        <v>31</v>
      </c>
      <c r="D130" s="16">
        <v>5457</v>
      </c>
      <c r="E130" s="16">
        <v>938</v>
      </c>
      <c r="F130" s="16">
        <v>480</v>
      </c>
      <c r="G130" s="17">
        <v>4.8176972281449899</v>
      </c>
      <c r="H130" s="17">
        <v>10.36875</v>
      </c>
      <c r="J130" s="9"/>
    </row>
    <row r="131" spans="1:10" ht="16.5" customHeight="1">
      <c r="A131" s="9"/>
      <c r="C131" s="15" t="s">
        <v>32</v>
      </c>
      <c r="D131" s="16">
        <v>4254</v>
      </c>
      <c r="E131" s="16">
        <v>2941</v>
      </c>
      <c r="F131" s="16">
        <v>7526</v>
      </c>
      <c r="G131" s="17">
        <v>0.44644678680720801</v>
      </c>
      <c r="H131" s="17">
        <v>-0.43475950039861799</v>
      </c>
      <c r="J131" s="9"/>
    </row>
    <row r="132" spans="1:10" ht="16.5" customHeight="1">
      <c r="A132" s="9"/>
      <c r="C132" s="15" t="s">
        <v>33</v>
      </c>
      <c r="D132" s="16">
        <v>4145</v>
      </c>
      <c r="E132" s="16">
        <v>1562</v>
      </c>
      <c r="F132" s="16">
        <v>363</v>
      </c>
      <c r="G132" s="17">
        <v>1.65364916773367</v>
      </c>
      <c r="H132" s="17">
        <v>10.4187327823691</v>
      </c>
      <c r="J132" s="9"/>
    </row>
    <row r="133" spans="1:10" ht="16.5" customHeight="1">
      <c r="A133" s="9"/>
      <c r="C133" s="15" t="s">
        <v>34</v>
      </c>
      <c r="D133" s="16">
        <v>3953</v>
      </c>
      <c r="E133" s="16">
        <v>3352</v>
      </c>
      <c r="F133" s="16">
        <v>4716</v>
      </c>
      <c r="G133" s="17">
        <v>0.17929594272076399</v>
      </c>
      <c r="H133" s="17">
        <v>-0.161789652247668</v>
      </c>
      <c r="J133" s="9"/>
    </row>
    <row r="134" spans="1:10" ht="16.5" customHeight="1">
      <c r="A134" s="9"/>
      <c r="C134" s="15" t="s">
        <v>35</v>
      </c>
      <c r="D134" s="16">
        <v>3916</v>
      </c>
      <c r="E134" s="16"/>
      <c r="F134" s="16">
        <v>1334</v>
      </c>
      <c r="G134" s="17"/>
      <c r="H134" s="17">
        <v>1.9355322338830601</v>
      </c>
      <c r="J134" s="9"/>
    </row>
    <row r="135" spans="1:10" ht="16.5" customHeight="1">
      <c r="A135" s="9"/>
      <c r="C135" s="15" t="s">
        <v>36</v>
      </c>
      <c r="D135" s="16">
        <v>3631</v>
      </c>
      <c r="E135" s="16">
        <v>2224</v>
      </c>
      <c r="F135" s="16">
        <v>6132</v>
      </c>
      <c r="G135" s="17">
        <v>0.63264388489208601</v>
      </c>
      <c r="H135" s="17">
        <v>-0.407860404435747</v>
      </c>
      <c r="J135" s="9"/>
    </row>
    <row r="136" spans="1:10" ht="16.5" customHeight="1">
      <c r="A136" s="9"/>
      <c r="C136" s="15" t="s">
        <v>37</v>
      </c>
      <c r="D136" s="16">
        <v>3432</v>
      </c>
      <c r="E136" s="16">
        <v>939</v>
      </c>
      <c r="F136" s="16">
        <v>29140</v>
      </c>
      <c r="G136" s="17">
        <v>2.6549520766773198</v>
      </c>
      <c r="H136" s="17">
        <v>-0.88222374742621801</v>
      </c>
      <c r="J136" s="9"/>
    </row>
    <row r="137" spans="1:10" ht="16.5" customHeight="1">
      <c r="A137" s="9"/>
      <c r="C137" s="15" t="s">
        <v>38</v>
      </c>
      <c r="D137" s="16">
        <v>3153</v>
      </c>
      <c r="E137" s="16">
        <v>4672</v>
      </c>
      <c r="F137" s="16">
        <v>225</v>
      </c>
      <c r="G137" s="17">
        <v>-0.325128424657534</v>
      </c>
      <c r="H137" s="17">
        <v>13.0133333333333</v>
      </c>
      <c r="J137" s="9"/>
    </row>
    <row r="138" spans="1:10" ht="16.5" customHeight="1">
      <c r="A138" s="9"/>
      <c r="C138" s="15" t="s">
        <v>39</v>
      </c>
      <c r="D138" s="16">
        <v>2259</v>
      </c>
      <c r="E138" s="16">
        <v>1435</v>
      </c>
      <c r="F138" s="16"/>
      <c r="G138" s="17">
        <v>0.57421602787456405</v>
      </c>
      <c r="H138" s="17"/>
      <c r="J138" s="9"/>
    </row>
    <row r="139" spans="1:10" ht="16.5" customHeight="1">
      <c r="A139" s="9"/>
      <c r="C139" s="15" t="s">
        <v>40</v>
      </c>
      <c r="D139" s="16">
        <v>2122</v>
      </c>
      <c r="E139" s="16">
        <v>3494</v>
      </c>
      <c r="F139" s="16">
        <v>4969</v>
      </c>
      <c r="G139" s="17">
        <v>-0.39267315397824798</v>
      </c>
      <c r="H139" s="17">
        <v>-0.57295230428657695</v>
      </c>
      <c r="J139" s="9"/>
    </row>
    <row r="140" spans="1:10" ht="16.5" customHeight="1">
      <c r="A140" s="9"/>
      <c r="C140" s="15" t="s">
        <v>41</v>
      </c>
      <c r="D140" s="16">
        <v>1983</v>
      </c>
      <c r="E140" s="16">
        <v>1944</v>
      </c>
      <c r="F140" s="16">
        <v>1412</v>
      </c>
      <c r="G140" s="17">
        <v>2.00617283950617E-2</v>
      </c>
      <c r="H140" s="17">
        <v>0.40439093484419297</v>
      </c>
      <c r="J140" s="9"/>
    </row>
    <row r="141" spans="1:10" ht="16.5" customHeight="1">
      <c r="A141" s="9"/>
      <c r="C141" s="15" t="s">
        <v>42</v>
      </c>
      <c r="D141" s="16">
        <v>1872</v>
      </c>
      <c r="E141" s="16">
        <v>1248</v>
      </c>
      <c r="F141" s="16"/>
      <c r="G141" s="17">
        <v>0.5</v>
      </c>
      <c r="H141" s="17"/>
      <c r="J141" s="9"/>
    </row>
    <row r="142" spans="1:10" ht="16.5" customHeight="1">
      <c r="A142" s="9"/>
      <c r="C142" s="15" t="s">
        <v>43</v>
      </c>
      <c r="D142" s="16">
        <v>1692</v>
      </c>
      <c r="E142" s="16">
        <v>581</v>
      </c>
      <c r="F142" s="16">
        <v>532</v>
      </c>
      <c r="G142" s="17">
        <v>1.91222030981067</v>
      </c>
      <c r="H142" s="17">
        <v>2.1804511278195502</v>
      </c>
      <c r="J142" s="9"/>
    </row>
    <row r="143" spans="1:10" ht="16.5" customHeight="1">
      <c r="A143" s="9"/>
      <c r="C143" s="15" t="s">
        <v>45</v>
      </c>
      <c r="D143" s="16">
        <v>1409</v>
      </c>
      <c r="E143" s="16">
        <v>1340</v>
      </c>
      <c r="F143" s="16">
        <v>836</v>
      </c>
      <c r="G143" s="17">
        <v>5.1492537313432701E-2</v>
      </c>
      <c r="H143" s="17">
        <v>0.68540669856459302</v>
      </c>
      <c r="J143" s="9"/>
    </row>
    <row r="144" spans="1:10" ht="16.5" customHeight="1">
      <c r="A144" s="9"/>
      <c r="C144" s="15" t="s">
        <v>46</v>
      </c>
      <c r="D144" s="16">
        <v>1344</v>
      </c>
      <c r="E144" s="16">
        <v>832</v>
      </c>
      <c r="F144" s="16">
        <v>638</v>
      </c>
      <c r="G144" s="17">
        <v>0.61538461538461497</v>
      </c>
      <c r="H144" s="17">
        <v>1.10658307210031</v>
      </c>
      <c r="J144" s="9"/>
    </row>
    <row r="145" spans="1:10" ht="16.5" customHeight="1">
      <c r="A145" s="9"/>
      <c r="C145" s="15" t="s">
        <v>44</v>
      </c>
      <c r="D145" s="16">
        <v>1304</v>
      </c>
      <c r="E145" s="16">
        <v>1249</v>
      </c>
      <c r="F145" s="16">
        <v>1060</v>
      </c>
      <c r="G145" s="17">
        <v>4.4035228182546002E-2</v>
      </c>
      <c r="H145" s="17">
        <v>0.230188679245283</v>
      </c>
      <c r="J145" s="9"/>
    </row>
    <row r="146" spans="1:10" ht="16.5" customHeight="1">
      <c r="A146" s="9"/>
      <c r="C146" s="15" t="s">
        <v>47</v>
      </c>
      <c r="D146" s="16">
        <v>1262</v>
      </c>
      <c r="E146" s="16">
        <v>429</v>
      </c>
      <c r="F146" s="16">
        <v>309</v>
      </c>
      <c r="G146" s="17">
        <v>1.94172494172494</v>
      </c>
      <c r="H146" s="17">
        <v>3.0841423948220101</v>
      </c>
      <c r="J146" s="9"/>
    </row>
    <row r="147" spans="1:10" ht="16.5" customHeight="1">
      <c r="A147" s="9"/>
      <c r="C147" s="15" t="s">
        <v>48</v>
      </c>
      <c r="D147" s="16">
        <v>1026</v>
      </c>
      <c r="E147" s="16">
        <v>891</v>
      </c>
      <c r="F147" s="16">
        <v>504</v>
      </c>
      <c r="G147" s="17">
        <v>0.15151515151515199</v>
      </c>
      <c r="H147" s="17">
        <v>1.03571428571429</v>
      </c>
      <c r="J147" s="9"/>
    </row>
    <row r="148" spans="1:10" ht="16.5" customHeight="1">
      <c r="A148" s="9"/>
      <c r="C148" s="15" t="s">
        <v>49</v>
      </c>
      <c r="D148" s="16">
        <v>958</v>
      </c>
      <c r="E148" s="16">
        <v>1648</v>
      </c>
      <c r="F148" s="16">
        <v>2001</v>
      </c>
      <c r="G148" s="17">
        <v>-0.418689320388349</v>
      </c>
      <c r="H148" s="17">
        <v>-0.52123938030984496</v>
      </c>
      <c r="J148" s="9"/>
    </row>
    <row r="149" spans="1:10" ht="16.5" customHeight="1">
      <c r="A149" s="9"/>
      <c r="C149" s="15" t="s">
        <v>50</v>
      </c>
      <c r="D149" s="16">
        <v>910</v>
      </c>
      <c r="E149" s="16">
        <v>260</v>
      </c>
      <c r="F149" s="16">
        <v>4641</v>
      </c>
      <c r="G149" s="17">
        <v>2.5</v>
      </c>
      <c r="H149" s="17">
        <v>-0.80392156862745101</v>
      </c>
      <c r="J149" s="9"/>
    </row>
    <row r="150" spans="1:10" ht="16.5" customHeight="1">
      <c r="A150" s="9"/>
      <c r="C150" s="15" t="s">
        <v>51</v>
      </c>
      <c r="D150" s="16">
        <v>896</v>
      </c>
      <c r="E150" s="16">
        <v>157</v>
      </c>
      <c r="F150" s="16">
        <v>364</v>
      </c>
      <c r="G150" s="17">
        <v>4.7070063694267503</v>
      </c>
      <c r="H150" s="17">
        <v>1.4615384615384599</v>
      </c>
      <c r="J150" s="9"/>
    </row>
    <row r="151" spans="1:10" ht="16.5" customHeight="1">
      <c r="A151" s="9"/>
      <c r="C151" s="15" t="s">
        <v>53</v>
      </c>
      <c r="D151" s="16">
        <v>790</v>
      </c>
      <c r="E151" s="16"/>
      <c r="F151" s="16"/>
      <c r="G151" s="17"/>
      <c r="H151" s="17"/>
      <c r="J151" s="9"/>
    </row>
    <row r="152" spans="1:10" ht="16.5" customHeight="1">
      <c r="A152" s="9"/>
      <c r="C152" s="15" t="s">
        <v>54</v>
      </c>
      <c r="D152" s="16">
        <v>749</v>
      </c>
      <c r="E152" s="16">
        <v>749</v>
      </c>
      <c r="F152" s="16"/>
      <c r="G152" s="17">
        <v>0</v>
      </c>
      <c r="H152" s="17"/>
      <c r="J152" s="9"/>
    </row>
    <row r="153" spans="1:10" ht="16.5" customHeight="1">
      <c r="A153" s="9"/>
      <c r="C153" s="15" t="s">
        <v>55</v>
      </c>
      <c r="D153" s="16">
        <v>749</v>
      </c>
      <c r="E153" s="16"/>
      <c r="F153" s="16">
        <v>749</v>
      </c>
      <c r="G153" s="17"/>
      <c r="H153" s="17">
        <v>0</v>
      </c>
      <c r="J153" s="9"/>
    </row>
    <row r="154" spans="1:10" ht="16.5" customHeight="1">
      <c r="A154" s="9"/>
      <c r="C154" s="15" t="s">
        <v>56</v>
      </c>
      <c r="D154" s="16">
        <v>624</v>
      </c>
      <c r="E154" s="16"/>
      <c r="F154" s="16">
        <v>1934</v>
      </c>
      <c r="G154" s="17"/>
      <c r="H154" s="17">
        <v>-0.677352637021717</v>
      </c>
      <c r="J154" s="9"/>
    </row>
    <row r="155" spans="1:10" ht="16.5" customHeight="1">
      <c r="A155" s="9"/>
      <c r="C155" s="15" t="s">
        <v>57</v>
      </c>
      <c r="D155" s="16">
        <v>574</v>
      </c>
      <c r="E155" s="16"/>
      <c r="F155" s="16">
        <v>936</v>
      </c>
      <c r="G155" s="17"/>
      <c r="H155" s="17">
        <v>-0.38675213675213699</v>
      </c>
      <c r="J155" s="9"/>
    </row>
    <row r="156" spans="1:10" ht="16.5" customHeight="1">
      <c r="A156" s="9"/>
      <c r="C156" s="15" t="s">
        <v>58</v>
      </c>
      <c r="D156" s="16">
        <v>478</v>
      </c>
      <c r="E156" s="16"/>
      <c r="F156" s="16"/>
      <c r="G156" s="17"/>
      <c r="H156" s="17"/>
      <c r="J156" s="9"/>
    </row>
    <row r="157" spans="1:10" ht="16.5" customHeight="1">
      <c r="A157" s="9"/>
      <c r="C157" s="15" t="s">
        <v>59</v>
      </c>
      <c r="D157" s="16">
        <v>419</v>
      </c>
      <c r="E157" s="16">
        <v>1327</v>
      </c>
      <c r="F157" s="16">
        <v>2697</v>
      </c>
      <c r="G157" s="17">
        <v>-0.68425018839487595</v>
      </c>
      <c r="H157" s="17">
        <v>-0.84464219503151605</v>
      </c>
      <c r="J157" s="9"/>
    </row>
    <row r="158" spans="1:10" ht="16.5" customHeight="1">
      <c r="A158" s="9"/>
      <c r="C158" s="15" t="s">
        <v>60</v>
      </c>
      <c r="D158" s="16">
        <v>378</v>
      </c>
      <c r="E158" s="16">
        <v>626</v>
      </c>
      <c r="F158" s="16">
        <v>874</v>
      </c>
      <c r="G158" s="17">
        <v>-0.396166134185303</v>
      </c>
      <c r="H158" s="17">
        <v>-0.56750572082379902</v>
      </c>
      <c r="J158" s="9"/>
    </row>
    <row r="159" spans="1:10" ht="16.5" customHeight="1">
      <c r="A159" s="9"/>
      <c r="C159" s="15" t="s">
        <v>61</v>
      </c>
      <c r="D159" s="16">
        <v>318</v>
      </c>
      <c r="E159" s="16"/>
      <c r="F159" s="16"/>
      <c r="G159" s="17"/>
      <c r="H159" s="17"/>
      <c r="J159" s="9"/>
    </row>
    <row r="160" spans="1:10" ht="16.5" customHeight="1">
      <c r="A160" s="9"/>
      <c r="C160" s="15" t="s">
        <v>62</v>
      </c>
      <c r="D160" s="16">
        <v>298</v>
      </c>
      <c r="E160" s="16">
        <v>412</v>
      </c>
      <c r="F160" s="16">
        <v>2094</v>
      </c>
      <c r="G160" s="17">
        <v>-0.27669902912621402</v>
      </c>
      <c r="H160" s="17">
        <v>-0.85768863419293195</v>
      </c>
      <c r="J160" s="9"/>
    </row>
    <row r="161" spans="1:10" ht="16.5" customHeight="1">
      <c r="A161" s="9"/>
      <c r="C161" s="15" t="s">
        <v>63</v>
      </c>
      <c r="D161" s="16">
        <v>293</v>
      </c>
      <c r="E161" s="16">
        <v>421</v>
      </c>
      <c r="F161" s="16"/>
      <c r="G161" s="17">
        <v>-0.304038004750594</v>
      </c>
      <c r="H161" s="17"/>
      <c r="J161" s="9"/>
    </row>
    <row r="162" spans="1:10" ht="16.5" customHeight="1">
      <c r="A162" s="9"/>
      <c r="C162" s="15" t="s">
        <v>52</v>
      </c>
      <c r="D162" s="16">
        <v>280</v>
      </c>
      <c r="E162" s="16">
        <v>836</v>
      </c>
      <c r="F162" s="16">
        <v>838</v>
      </c>
      <c r="G162" s="17">
        <v>-0.66507177033492804</v>
      </c>
      <c r="H162" s="17">
        <v>-0.66587112171837703</v>
      </c>
      <c r="J162" s="9"/>
    </row>
    <row r="163" spans="1:10" ht="16.5" customHeight="1">
      <c r="A163" s="9"/>
      <c r="C163" s="15" t="s">
        <v>64</v>
      </c>
      <c r="D163" s="16">
        <v>254</v>
      </c>
      <c r="E163" s="16"/>
      <c r="F163" s="16"/>
      <c r="G163" s="17"/>
      <c r="H163" s="17"/>
      <c r="J163" s="9"/>
    </row>
    <row r="164" spans="1:10" ht="16.5" customHeight="1">
      <c r="A164" s="9"/>
      <c r="C164" s="15" t="s">
        <v>65</v>
      </c>
      <c r="D164" s="16">
        <v>252</v>
      </c>
      <c r="E164" s="16"/>
      <c r="F164" s="16"/>
      <c r="G164" s="17"/>
      <c r="H164" s="17"/>
      <c r="J164" s="9"/>
    </row>
    <row r="165" spans="1:10" ht="16.5" customHeight="1">
      <c r="A165" s="9"/>
      <c r="C165" s="15" t="s">
        <v>66</v>
      </c>
      <c r="D165" s="16">
        <v>250</v>
      </c>
      <c r="E165" s="16">
        <v>760</v>
      </c>
      <c r="F165" s="16"/>
      <c r="G165" s="17">
        <v>-0.67105263157894701</v>
      </c>
      <c r="H165" s="17"/>
      <c r="J165" s="9"/>
    </row>
    <row r="166" spans="1:10" ht="16.5" customHeight="1">
      <c r="A166" s="9"/>
      <c r="C166" s="15" t="s">
        <v>67</v>
      </c>
      <c r="D166" s="16">
        <v>209</v>
      </c>
      <c r="E166" s="16">
        <v>153</v>
      </c>
      <c r="F166" s="16"/>
      <c r="G166" s="17">
        <v>0.36601307189542498</v>
      </c>
      <c r="H166" s="17"/>
      <c r="J166" s="9"/>
    </row>
    <row r="167" spans="1:10" ht="16.5" customHeight="1">
      <c r="A167" s="9"/>
      <c r="C167" s="15" t="s">
        <v>68</v>
      </c>
      <c r="D167" s="16">
        <v>122</v>
      </c>
      <c r="E167" s="16">
        <v>631</v>
      </c>
      <c r="F167" s="16">
        <v>806</v>
      </c>
      <c r="G167" s="17">
        <v>-0.80665610142630695</v>
      </c>
      <c r="H167" s="17">
        <v>-0.84863523573201005</v>
      </c>
      <c r="J167" s="9"/>
    </row>
    <row r="168" spans="1:10" ht="16.5" customHeight="1">
      <c r="A168" s="9"/>
      <c r="C168" s="15" t="s">
        <v>69</v>
      </c>
      <c r="D168" s="16">
        <v>116</v>
      </c>
      <c r="E168" s="16"/>
      <c r="F168" s="16"/>
      <c r="G168" s="17"/>
      <c r="H168" s="17"/>
      <c r="J168" s="9"/>
    </row>
    <row r="169" spans="1:10" ht="16.5" customHeight="1">
      <c r="A169" s="9"/>
      <c r="C169" s="15" t="s">
        <v>70</v>
      </c>
      <c r="D169" s="16">
        <v>104</v>
      </c>
      <c r="E169" s="16"/>
      <c r="F169" s="16">
        <v>114</v>
      </c>
      <c r="G169" s="17"/>
      <c r="H169" s="17">
        <v>-8.77192982456141E-2</v>
      </c>
      <c r="J169" s="9"/>
    </row>
    <row r="170" spans="1:10" ht="16.5" customHeight="1">
      <c r="A170" s="9"/>
      <c r="C170" s="15" t="s">
        <v>71</v>
      </c>
      <c r="D170" s="16">
        <v>104</v>
      </c>
      <c r="E170" s="16">
        <v>709</v>
      </c>
      <c r="F170" s="16">
        <v>243</v>
      </c>
      <c r="G170" s="17">
        <v>-0.85331452750352599</v>
      </c>
      <c r="H170" s="17">
        <v>-0.57201646090534997</v>
      </c>
      <c r="J170" s="9"/>
    </row>
    <row r="171" spans="1:10" ht="16.5" customHeight="1">
      <c r="A171" s="9"/>
      <c r="C171" s="15" t="s">
        <v>72</v>
      </c>
      <c r="D171" s="16">
        <v>102</v>
      </c>
      <c r="E171" s="16">
        <v>112</v>
      </c>
      <c r="F171" s="16">
        <v>75</v>
      </c>
      <c r="G171" s="17">
        <v>-8.9285714285714302E-2</v>
      </c>
      <c r="H171" s="17">
        <v>0.36</v>
      </c>
      <c r="J171" s="9"/>
    </row>
    <row r="172" spans="1:10" ht="16.5" customHeight="1">
      <c r="A172" s="9"/>
      <c r="C172" s="15" t="s">
        <v>73</v>
      </c>
      <c r="D172" s="16">
        <v>95</v>
      </c>
      <c r="E172" s="16">
        <v>217</v>
      </c>
      <c r="F172" s="16">
        <v>686</v>
      </c>
      <c r="G172" s="17">
        <v>-0.56221198156681995</v>
      </c>
      <c r="H172" s="17">
        <v>-0.86151603498542295</v>
      </c>
      <c r="J172" s="9"/>
    </row>
    <row r="173" spans="1:10" ht="16.5" customHeight="1">
      <c r="A173" s="9"/>
      <c r="C173" s="15" t="s">
        <v>74</v>
      </c>
      <c r="D173" s="16">
        <v>78</v>
      </c>
      <c r="E173" s="16">
        <v>62</v>
      </c>
      <c r="F173" s="16">
        <v>558</v>
      </c>
      <c r="G173" s="17">
        <v>0.25806451612903197</v>
      </c>
      <c r="H173" s="17">
        <v>-0.86021505376344098</v>
      </c>
      <c r="J173" s="9"/>
    </row>
    <row r="174" spans="1:10" ht="16.5" customHeight="1">
      <c r="A174" s="9"/>
      <c r="C174" s="15" t="s">
        <v>75</v>
      </c>
      <c r="D174" s="16"/>
      <c r="E174" s="16"/>
      <c r="F174" s="16">
        <v>69</v>
      </c>
      <c r="G174" s="17"/>
      <c r="H174" s="17">
        <v>-1</v>
      </c>
      <c r="J174" s="9"/>
    </row>
    <row r="175" spans="1:10" ht="16.5" customHeight="1">
      <c r="A175" s="9"/>
      <c r="C175" s="15" t="s">
        <v>76</v>
      </c>
      <c r="D175" s="16"/>
      <c r="E175" s="16">
        <v>12431</v>
      </c>
      <c r="F175" s="16">
        <v>12554</v>
      </c>
      <c r="G175" s="17">
        <v>-1</v>
      </c>
      <c r="H175" s="17">
        <v>-1</v>
      </c>
      <c r="J175" s="9"/>
    </row>
    <row r="176" spans="1:10" ht="16.5" customHeight="1">
      <c r="A176" s="9"/>
      <c r="C176" s="15" t="s">
        <v>77</v>
      </c>
      <c r="D176" s="16"/>
      <c r="E176" s="16">
        <v>99</v>
      </c>
      <c r="F176" s="16"/>
      <c r="G176" s="17">
        <v>-1</v>
      </c>
      <c r="H176" s="17"/>
      <c r="J176" s="9"/>
    </row>
    <row r="177" spans="1:10" ht="16.5" customHeight="1">
      <c r="A177" s="9"/>
      <c r="C177" s="15" t="s">
        <v>78</v>
      </c>
      <c r="D177" s="16"/>
      <c r="E177" s="16"/>
      <c r="F177" s="16">
        <v>321</v>
      </c>
      <c r="G177" s="17"/>
      <c r="H177" s="17">
        <v>-1</v>
      </c>
      <c r="J177" s="9"/>
    </row>
    <row r="178" spans="1:10" ht="16.5" customHeight="1">
      <c r="A178" s="9"/>
      <c r="C178" s="15" t="s">
        <v>79</v>
      </c>
      <c r="D178" s="16"/>
      <c r="E178" s="16"/>
      <c r="F178" s="16">
        <v>90</v>
      </c>
      <c r="G178" s="17"/>
      <c r="H178" s="17">
        <v>-1</v>
      </c>
      <c r="J178" s="9"/>
    </row>
    <row r="179" spans="1:10" ht="16.5" customHeight="1">
      <c r="A179" s="9"/>
      <c r="C179" s="15" t="s">
        <v>80</v>
      </c>
      <c r="D179" s="16"/>
      <c r="E179" s="16"/>
      <c r="F179" s="16">
        <v>3620</v>
      </c>
      <c r="G179" s="17"/>
      <c r="H179" s="17">
        <v>-1</v>
      </c>
      <c r="J179" s="9"/>
    </row>
    <row r="180" spans="1:10" ht="16.5" customHeight="1">
      <c r="A180" s="9"/>
      <c r="C180" s="15" t="s">
        <v>81</v>
      </c>
      <c r="D180" s="16"/>
      <c r="E180" s="16"/>
      <c r="F180" s="16">
        <v>118</v>
      </c>
      <c r="G180" s="17"/>
      <c r="H180" s="17">
        <v>-1</v>
      </c>
      <c r="J180" s="9"/>
    </row>
    <row r="181" spans="1:10" ht="16.5" customHeight="1">
      <c r="A181" s="9"/>
      <c r="C181" s="15" t="s">
        <v>82</v>
      </c>
      <c r="D181" s="16"/>
      <c r="E181" s="16"/>
      <c r="F181" s="16">
        <v>855</v>
      </c>
      <c r="G181" s="17"/>
      <c r="H181" s="17">
        <v>-1</v>
      </c>
      <c r="J181" s="9"/>
    </row>
    <row r="182" spans="1:10" ht="16.5" customHeight="1">
      <c r="A182" s="9"/>
      <c r="C182" s="15" t="s">
        <v>83</v>
      </c>
      <c r="D182" s="16"/>
      <c r="E182" s="16"/>
      <c r="F182" s="16">
        <v>319</v>
      </c>
      <c r="G182" s="17"/>
      <c r="H182" s="17">
        <v>-1</v>
      </c>
      <c r="J182" s="9"/>
    </row>
    <row r="183" spans="1:10" ht="16.5" customHeight="1">
      <c r="A183" s="9"/>
      <c r="C183" s="15" t="s">
        <v>84</v>
      </c>
      <c r="D183" s="16"/>
      <c r="E183" s="16"/>
      <c r="F183" s="16">
        <v>1032</v>
      </c>
      <c r="G183" s="17"/>
      <c r="H183" s="17">
        <v>-1</v>
      </c>
      <c r="J183" s="9"/>
    </row>
    <row r="184" spans="1:10" ht="16.5" customHeight="1">
      <c r="A184" s="9"/>
      <c r="C184" s="15" t="s">
        <v>85</v>
      </c>
      <c r="D184" s="16"/>
      <c r="E184" s="16">
        <v>1024</v>
      </c>
      <c r="F184" s="16"/>
      <c r="G184" s="17">
        <v>-1</v>
      </c>
      <c r="H184" s="17"/>
      <c r="J184" s="9"/>
    </row>
    <row r="185" spans="1:10" ht="16.5" customHeight="1">
      <c r="A185" s="9"/>
      <c r="C185" s="15" t="s">
        <v>86</v>
      </c>
      <c r="D185" s="16"/>
      <c r="E185" s="16">
        <v>90</v>
      </c>
      <c r="F185" s="16">
        <v>110</v>
      </c>
      <c r="G185" s="17">
        <v>-1</v>
      </c>
      <c r="H185" s="17">
        <v>-1</v>
      </c>
      <c r="J185" s="9"/>
    </row>
    <row r="186" spans="1:10" ht="16.5" customHeight="1">
      <c r="A186" s="9"/>
      <c r="C186" s="15" t="s">
        <v>87</v>
      </c>
      <c r="D186" s="16"/>
      <c r="E186" s="16">
        <v>138</v>
      </c>
      <c r="F186" s="16">
        <v>170</v>
      </c>
      <c r="G186" s="17">
        <v>-1</v>
      </c>
      <c r="H186" s="17">
        <v>-1</v>
      </c>
      <c r="J186" s="9"/>
    </row>
    <row r="187" spans="1:10" ht="16.5" customHeight="1">
      <c r="A187" s="9"/>
      <c r="C187" s="15" t="s">
        <v>88</v>
      </c>
      <c r="D187" s="16"/>
      <c r="E187" s="16"/>
      <c r="F187" s="16">
        <v>2059</v>
      </c>
      <c r="G187" s="17"/>
      <c r="H187" s="17">
        <v>-1</v>
      </c>
      <c r="J187" s="9"/>
    </row>
    <row r="188" spans="1:10" ht="16.5" customHeight="1">
      <c r="A188" s="9"/>
      <c r="C188" s="15" t="s">
        <v>89</v>
      </c>
      <c r="D188" s="16"/>
      <c r="E188" s="16">
        <v>520</v>
      </c>
      <c r="F188" s="16"/>
      <c r="G188" s="17">
        <v>-1</v>
      </c>
      <c r="H188" s="17"/>
      <c r="J188" s="9"/>
    </row>
    <row r="189" spans="1:10" ht="16.5" customHeight="1">
      <c r="A189" s="9"/>
      <c r="C189" s="15" t="s">
        <v>90</v>
      </c>
      <c r="D189" s="16"/>
      <c r="E189" s="16"/>
      <c r="F189" s="16">
        <v>302</v>
      </c>
      <c r="G189" s="17"/>
      <c r="H189" s="17">
        <v>-1</v>
      </c>
      <c r="J189" s="9"/>
    </row>
    <row r="190" spans="1:10" ht="16.5" customHeight="1">
      <c r="A190" s="9"/>
      <c r="C190" s="15" t="s">
        <v>91</v>
      </c>
      <c r="D190" s="16"/>
      <c r="E190" s="16">
        <v>492</v>
      </c>
      <c r="F190" s="16">
        <v>490</v>
      </c>
      <c r="G190" s="17">
        <v>-1</v>
      </c>
      <c r="H190" s="17">
        <v>-1</v>
      </c>
      <c r="J190" s="9"/>
    </row>
    <row r="191" spans="1:10" ht="16.5" customHeight="1">
      <c r="A191" s="9"/>
      <c r="C191" s="15" t="s">
        <v>92</v>
      </c>
      <c r="D191" s="16"/>
      <c r="E191" s="16">
        <v>95</v>
      </c>
      <c r="F191" s="16"/>
      <c r="G191" s="17">
        <v>-1</v>
      </c>
      <c r="H191" s="17"/>
      <c r="J191" s="9"/>
    </row>
    <row r="192" spans="1:10" ht="16.5" customHeight="1">
      <c r="A192" s="9"/>
      <c r="C192" s="15" t="s">
        <v>93</v>
      </c>
      <c r="D192" s="16"/>
      <c r="E192" s="16">
        <v>286</v>
      </c>
      <c r="F192" s="16"/>
      <c r="G192" s="17">
        <v>-1</v>
      </c>
      <c r="H192" s="17"/>
      <c r="J192" s="9"/>
    </row>
    <row r="193" spans="1:10" ht="16.5" customHeight="1">
      <c r="A193" s="9"/>
      <c r="C193" s="15" t="s">
        <v>94</v>
      </c>
      <c r="D193" s="16"/>
      <c r="E193" s="16"/>
      <c r="F193" s="16">
        <v>660</v>
      </c>
      <c r="G193" s="17"/>
      <c r="H193" s="17">
        <v>-1</v>
      </c>
      <c r="J193" s="9"/>
    </row>
    <row r="194" spans="1:10" ht="16.5" customHeight="1">
      <c r="A194" s="9"/>
      <c r="C194" s="15" t="s">
        <v>95</v>
      </c>
      <c r="D194" s="16"/>
      <c r="E194" s="16">
        <v>1440</v>
      </c>
      <c r="F194" s="16">
        <v>970</v>
      </c>
      <c r="G194" s="17">
        <v>-1</v>
      </c>
      <c r="H194" s="17">
        <v>-1</v>
      </c>
      <c r="J194" s="9"/>
    </row>
    <row r="195" spans="1:10" ht="16.5" customHeight="1">
      <c r="A195" s="9"/>
      <c r="C195" s="15" t="s">
        <v>96</v>
      </c>
      <c r="D195" s="16"/>
      <c r="E195" s="16">
        <v>7852</v>
      </c>
      <c r="F195" s="16">
        <v>6348</v>
      </c>
      <c r="G195" s="17">
        <v>-1</v>
      </c>
      <c r="H195" s="17">
        <v>-1</v>
      </c>
      <c r="J195" s="9"/>
    </row>
    <row r="196" spans="1:10" ht="16.5" customHeight="1">
      <c r="A196" s="9"/>
      <c r="C196" s="15" t="s">
        <v>97</v>
      </c>
      <c r="D196" s="16"/>
      <c r="E196" s="16">
        <v>1595</v>
      </c>
      <c r="F196" s="16">
        <v>10706</v>
      </c>
      <c r="G196" s="17">
        <v>-1</v>
      </c>
      <c r="H196" s="17">
        <v>-1</v>
      </c>
      <c r="J196" s="9"/>
    </row>
    <row r="197" spans="1:10" ht="16.5" customHeight="1">
      <c r="A197" s="9"/>
      <c r="C197" s="15" t="s">
        <v>98</v>
      </c>
      <c r="D197" s="16"/>
      <c r="E197" s="16">
        <v>545</v>
      </c>
      <c r="F197" s="16"/>
      <c r="G197" s="17">
        <v>-1</v>
      </c>
      <c r="H197" s="17"/>
      <c r="J197" s="9"/>
    </row>
    <row r="198" spans="1:10" ht="16.5" customHeight="1">
      <c r="A198" s="9"/>
      <c r="C198" s="15" t="s">
        <v>99</v>
      </c>
      <c r="D198" s="16"/>
      <c r="E198" s="16">
        <v>26</v>
      </c>
      <c r="F198" s="16">
        <v>20</v>
      </c>
      <c r="G198" s="17">
        <v>-1</v>
      </c>
      <c r="H198" s="17">
        <v>-1</v>
      </c>
      <c r="J198" s="9"/>
    </row>
    <row r="199" spans="1:10" ht="16.5" customHeight="1">
      <c r="A199" s="9"/>
      <c r="C199" s="2" t="s">
        <v>8</v>
      </c>
      <c r="D199" s="12">
        <f>SUBTOTAL(109,PaisSacaAcumulado['[CY']])</f>
        <v>293467</v>
      </c>
      <c r="E199" s="12">
        <f>SUBTOTAL(109,PaisSacaAcumulado['[LY']])</f>
        <v>324431</v>
      </c>
      <c r="F199" s="12">
        <f>SUBTOTAL(109,PaisSacaAcumulado['[2YA']])</f>
        <v>320429</v>
      </c>
      <c r="G199" s="8">
        <f>PaisSacaAcumulado[[#Totals],['[CY']]]/PaisSacaAcumulado[[#Totals],['[LY']]]-1</f>
        <v>-9.5440941217084685E-2</v>
      </c>
      <c r="H199" s="8">
        <f>PaisSacaAcumulado[[#Totals],['[CY']]]/PaisSacaAcumulado[[#Totals],['[2YA']]]-1</f>
        <v>-8.4143445193787025E-2</v>
      </c>
      <c r="J199" s="9"/>
    </row>
    <row r="200" spans="1:10" ht="16.5" customHeight="1">
      <c r="A200" s="9"/>
      <c r="C200" s="7" t="s">
        <v>9</v>
      </c>
      <c r="J200" s="9"/>
    </row>
    <row r="201" spans="1:10" ht="16.5" customHeight="1">
      <c r="A201" s="9"/>
      <c r="J201" s="9"/>
    </row>
    <row r="202" spans="1:10" ht="16.5" customHeight="1">
      <c r="A202" s="9"/>
      <c r="C202" s="1" t="str" cm="1">
        <f t="array" ref="C202:H211">_xlfn._xlws.SORT(_xlfn._xlws.FILTER(PaisSacaAcumulado[],PaisSacaAcumulado['[CY']]&gt;=LARGE(PaisSacaAcumulado['[CY']],10)),2,1)</f>
        <v>Emirados Árabes Unidos</v>
      </c>
      <c r="D202" s="1">
        <v>9001</v>
      </c>
      <c r="E202" s="1">
        <v>3217</v>
      </c>
      <c r="F202" s="1">
        <v>1710</v>
      </c>
      <c r="G202" s="1">
        <v>1.7979483991296199</v>
      </c>
      <c r="H202" s="1">
        <v>4.2637426900584803</v>
      </c>
      <c r="J202" s="9"/>
    </row>
    <row r="203" spans="1:10" ht="16.5" customHeight="1">
      <c r="A203" s="9"/>
      <c r="C203" s="1" t="str">
        <v>Indonésia</v>
      </c>
      <c r="D203" s="1">
        <v>9017</v>
      </c>
      <c r="E203" s="1">
        <v>7514</v>
      </c>
      <c r="F203" s="1">
        <v>0</v>
      </c>
      <c r="G203" s="1">
        <v>0.20002661698163399</v>
      </c>
      <c r="H203" s="1">
        <v>0</v>
      </c>
      <c r="J203" s="9"/>
    </row>
    <row r="204" spans="1:10" ht="16.5" customHeight="1">
      <c r="A204" s="9"/>
      <c r="C204" s="1" t="str">
        <v>Alemanha</v>
      </c>
      <c r="D204" s="1">
        <v>11763</v>
      </c>
      <c r="E204" s="1">
        <v>5097</v>
      </c>
      <c r="F204" s="1">
        <v>5384</v>
      </c>
      <c r="G204" s="1">
        <v>1.3078281341965901</v>
      </c>
      <c r="H204" s="1">
        <v>1.1848068350668599</v>
      </c>
      <c r="J204" s="9"/>
    </row>
    <row r="205" spans="1:10" ht="16.5" customHeight="1">
      <c r="A205" s="9"/>
      <c r="C205" s="1" t="str">
        <v>Rússia</v>
      </c>
      <c r="D205" s="1">
        <v>11848</v>
      </c>
      <c r="E205" s="1">
        <v>5676</v>
      </c>
      <c r="F205" s="1">
        <v>32159</v>
      </c>
      <c r="G205" s="1">
        <v>1.0873854827343199</v>
      </c>
      <c r="H205" s="1">
        <v>-0.63158058397338201</v>
      </c>
      <c r="J205" s="9"/>
    </row>
    <row r="206" spans="1:10" ht="16.5" customHeight="1">
      <c r="A206" s="9"/>
      <c r="C206" s="1" t="str">
        <v>Países Baixos (Holanda)</v>
      </c>
      <c r="D206" s="1">
        <v>12517</v>
      </c>
      <c r="E206" s="1">
        <v>5675</v>
      </c>
      <c r="F206" s="1">
        <v>8798</v>
      </c>
      <c r="G206" s="1">
        <v>1.20563876651982</v>
      </c>
      <c r="H206" s="1">
        <v>0.42270970675153402</v>
      </c>
      <c r="J206" s="9"/>
    </row>
    <row r="207" spans="1:10" ht="16.5" customHeight="1">
      <c r="A207" s="9"/>
      <c r="C207" s="1" t="str">
        <v>Chile</v>
      </c>
      <c r="D207" s="1">
        <v>13418</v>
      </c>
      <c r="E207" s="1">
        <v>1560</v>
      </c>
      <c r="F207" s="1">
        <v>8702</v>
      </c>
      <c r="G207" s="1">
        <v>7.60128205128205</v>
      </c>
      <c r="H207" s="1">
        <v>0.54194438060215999</v>
      </c>
      <c r="J207" s="9"/>
    </row>
    <row r="208" spans="1:10" ht="16.5" customHeight="1">
      <c r="A208" s="9"/>
      <c r="C208" s="1" t="str">
        <v>Peru</v>
      </c>
      <c r="D208" s="1">
        <v>14158</v>
      </c>
      <c r="E208" s="1">
        <v>5644</v>
      </c>
      <c r="F208" s="1">
        <v>7494</v>
      </c>
      <c r="G208" s="1">
        <v>1.5085046066619401</v>
      </c>
      <c r="H208" s="1">
        <v>0.889244729116627</v>
      </c>
      <c r="J208" s="9"/>
    </row>
    <row r="209" spans="1:10" ht="16.5" customHeight="1">
      <c r="A209" s="9"/>
      <c r="C209" s="1" t="str">
        <v>Japão</v>
      </c>
      <c r="D209" s="1">
        <v>19811</v>
      </c>
      <c r="E209" s="1">
        <v>14008</v>
      </c>
      <c r="F209" s="1">
        <v>17946</v>
      </c>
      <c r="G209" s="1">
        <v>0.41426327812678498</v>
      </c>
      <c r="H209" s="1">
        <v>0.103922879750362</v>
      </c>
      <c r="J209" s="9"/>
    </row>
    <row r="210" spans="1:10" ht="16.5" customHeight="1">
      <c r="A210" s="9"/>
      <c r="C210" s="1" t="str">
        <v>Polônia</v>
      </c>
      <c r="D210" s="1">
        <v>21058</v>
      </c>
      <c r="E210" s="1">
        <v>11952</v>
      </c>
      <c r="F210" s="1">
        <v>11645</v>
      </c>
      <c r="G210" s="1">
        <v>0.76188085676037498</v>
      </c>
      <c r="H210" s="1">
        <v>0.80832975525976802</v>
      </c>
      <c r="J210" s="9"/>
    </row>
    <row r="211" spans="1:10" ht="16.5" customHeight="1">
      <c r="A211" s="9"/>
      <c r="C211" s="1" t="str">
        <v>Estados Unidos</v>
      </c>
      <c r="D211" s="1">
        <v>59389</v>
      </c>
      <c r="E211" s="1">
        <v>92343</v>
      </c>
      <c r="F211" s="1">
        <v>65651</v>
      </c>
      <c r="G211" s="1">
        <v>-0.35686516574077098</v>
      </c>
      <c r="H211" s="1">
        <v>-9.5383162480388695E-2</v>
      </c>
      <c r="J211" s="9"/>
    </row>
    <row r="212" spans="1:10" ht="16.5" customHeight="1">
      <c r="A212" s="9"/>
      <c r="J212" s="9"/>
    </row>
    <row r="213" spans="1:10" ht="16.5" customHeight="1">
      <c r="A213" s="9"/>
      <c r="J213" s="9"/>
    </row>
    <row r="214" spans="1:10" ht="16.5" customHeight="1">
      <c r="A214" s="9"/>
      <c r="J214" s="9"/>
    </row>
    <row r="215" spans="1:10" ht="16.5" customHeight="1">
      <c r="A215" s="9"/>
      <c r="J215" s="9"/>
    </row>
    <row r="216" spans="1:10" ht="16.5" customHeight="1">
      <c r="A216" s="9"/>
      <c r="J216" s="9"/>
    </row>
    <row r="217" spans="1:10" ht="16.5" customHeight="1">
      <c r="A217" s="9"/>
      <c r="C217" s="6" t="s">
        <v>11</v>
      </c>
      <c r="J217" s="9"/>
    </row>
    <row r="218" spans="1:10" ht="16.5" customHeight="1">
      <c r="A218" s="9"/>
      <c r="C218" s="3" t="s">
        <v>13</v>
      </c>
      <c r="D218" s="4" t="str" cm="1">
        <f t="array" ref="D218:H218">D6:H6</f>
        <v>jan-jan/2024</v>
      </c>
      <c r="E218" s="4" t="str">
        <v>jan-jan/2023</v>
      </c>
      <c r="F218" s="4" t="str">
        <v>jan-jan/2022</v>
      </c>
      <c r="G218" s="4" t="str">
        <v>2024x2023</v>
      </c>
      <c r="H218" s="4" t="str">
        <v>2024x2022</v>
      </c>
      <c r="J218" s="9"/>
    </row>
    <row r="219" spans="1:10" ht="16.5" customHeight="1">
      <c r="A219" s="9"/>
      <c r="C219" s="15" t="s">
        <v>14</v>
      </c>
      <c r="D219" s="16">
        <v>11728159.369999999</v>
      </c>
      <c r="E219" s="16">
        <v>18107292.219999999</v>
      </c>
      <c r="F219" s="16">
        <v>10746703.85</v>
      </c>
      <c r="G219" s="17">
        <v>-0.35229634406375099</v>
      </c>
      <c r="H219" s="17">
        <v>9.1326190215989006E-2</v>
      </c>
      <c r="J219" s="9"/>
    </row>
    <row r="220" spans="1:10" ht="16.5" customHeight="1">
      <c r="A220" s="9"/>
      <c r="C220" s="15" t="s">
        <v>15</v>
      </c>
      <c r="D220" s="16">
        <v>3981090.69</v>
      </c>
      <c r="E220" s="16">
        <v>2026808.62</v>
      </c>
      <c r="F220" s="16">
        <v>1384681.11</v>
      </c>
      <c r="G220" s="17">
        <v>0.96421637973890195</v>
      </c>
      <c r="H220" s="17">
        <v>1.8750956889994701</v>
      </c>
      <c r="J220" s="9"/>
    </row>
    <row r="221" spans="1:10" ht="16.5" customHeight="1">
      <c r="A221" s="9"/>
      <c r="C221" s="15" t="s">
        <v>16</v>
      </c>
      <c r="D221" s="16">
        <v>3392038.59</v>
      </c>
      <c r="E221" s="16">
        <v>2911806.25</v>
      </c>
      <c r="F221" s="16">
        <v>3373634.74</v>
      </c>
      <c r="G221" s="17">
        <v>0.16492592527404601</v>
      </c>
      <c r="H221" s="17">
        <v>5.4551993379103898E-3</v>
      </c>
      <c r="J221" s="9"/>
    </row>
    <row r="222" spans="1:10" ht="16.5" customHeight="1">
      <c r="A222" s="9"/>
      <c r="C222" s="15" t="s">
        <v>18</v>
      </c>
      <c r="D222" s="16">
        <v>2679540.73</v>
      </c>
      <c r="E222" s="16">
        <v>432144.96</v>
      </c>
      <c r="F222" s="16">
        <v>1674482.6</v>
      </c>
      <c r="G222" s="17">
        <v>5.2005599463661403</v>
      </c>
      <c r="H222" s="17">
        <v>0.60022010978197105</v>
      </c>
      <c r="J222" s="9"/>
    </row>
    <row r="223" spans="1:10" ht="16.5" customHeight="1">
      <c r="A223" s="9"/>
      <c r="C223" s="15" t="s">
        <v>19</v>
      </c>
      <c r="D223" s="16">
        <v>2602393.75</v>
      </c>
      <c r="E223" s="16">
        <v>1009900.72</v>
      </c>
      <c r="F223" s="16">
        <v>1512916.2</v>
      </c>
      <c r="G223" s="17">
        <v>1.5768807749736</v>
      </c>
      <c r="H223" s="17">
        <v>0.72011757822409495</v>
      </c>
      <c r="J223" s="9"/>
    </row>
    <row r="224" spans="1:10" ht="16.5" customHeight="1">
      <c r="A224" s="9"/>
      <c r="C224" s="15" t="s">
        <v>21</v>
      </c>
      <c r="D224" s="16">
        <v>2584321.61</v>
      </c>
      <c r="E224" s="16">
        <v>1127929.3999999999</v>
      </c>
      <c r="F224" s="16">
        <v>949212.58</v>
      </c>
      <c r="G224" s="17">
        <v>1.2912086607548301</v>
      </c>
      <c r="H224" s="17">
        <v>1.72259519569368</v>
      </c>
      <c r="J224" s="9"/>
    </row>
    <row r="225" spans="1:10" ht="16.5" customHeight="1">
      <c r="A225" s="9"/>
      <c r="C225" s="15" t="s">
        <v>20</v>
      </c>
      <c r="D225" s="16">
        <v>2319977.4300000002</v>
      </c>
      <c r="E225" s="16">
        <v>923174</v>
      </c>
      <c r="F225" s="16">
        <v>4556785.3</v>
      </c>
      <c r="G225" s="17">
        <v>1.51304459397687</v>
      </c>
      <c r="H225" s="17">
        <v>-0.490874097140368</v>
      </c>
      <c r="J225" s="9"/>
    </row>
    <row r="226" spans="1:10" ht="16.5" customHeight="1">
      <c r="A226" s="9"/>
      <c r="C226" s="15" t="s">
        <v>17</v>
      </c>
      <c r="D226" s="16">
        <v>1953665.6</v>
      </c>
      <c r="E226" s="16">
        <v>1470151.01</v>
      </c>
      <c r="F226" s="16">
        <v>981645.78</v>
      </c>
      <c r="G226" s="17">
        <v>0.32888770385567401</v>
      </c>
      <c r="H226" s="17">
        <v>0.99019405961282603</v>
      </c>
      <c r="J226" s="9"/>
    </row>
    <row r="227" spans="1:10" ht="16.5" customHeight="1">
      <c r="A227" s="9"/>
      <c r="C227" s="15" t="s">
        <v>24</v>
      </c>
      <c r="D227" s="16">
        <v>1932368.5556999999</v>
      </c>
      <c r="E227" s="16">
        <v>2348431.7703999998</v>
      </c>
      <c r="F227" s="16">
        <v>4263212.8</v>
      </c>
      <c r="G227" s="17">
        <v>-0.17716640523438901</v>
      </c>
      <c r="H227" s="17">
        <v>-0.54673420109359805</v>
      </c>
      <c r="J227" s="9"/>
    </row>
    <row r="228" spans="1:10" ht="16.5" customHeight="1">
      <c r="A228" s="9"/>
      <c r="C228" s="15" t="s">
        <v>23</v>
      </c>
      <c r="D228" s="16">
        <v>1736245.4452</v>
      </c>
      <c r="E228" s="16">
        <v>686182.95799999998</v>
      </c>
      <c r="F228" s="16">
        <v>266816.99</v>
      </c>
      <c r="G228" s="17">
        <v>1.5302952003654999</v>
      </c>
      <c r="H228" s="17">
        <v>5.5072522000941504</v>
      </c>
      <c r="J228" s="9"/>
    </row>
    <row r="229" spans="1:10" ht="16.5" customHeight="1">
      <c r="A229" s="9"/>
      <c r="C229" s="15" t="s">
        <v>22</v>
      </c>
      <c r="D229" s="16">
        <v>1525838.4</v>
      </c>
      <c r="E229" s="16">
        <v>1348555</v>
      </c>
      <c r="F229" s="16"/>
      <c r="G229" s="17">
        <v>0.131461749798859</v>
      </c>
      <c r="H229" s="17"/>
      <c r="J229" s="9"/>
    </row>
    <row r="230" spans="1:10" ht="16.5" customHeight="1">
      <c r="A230" s="9"/>
      <c r="C230" s="15" t="s">
        <v>25</v>
      </c>
      <c r="D230" s="16">
        <v>1484545.6</v>
      </c>
      <c r="E230" s="16">
        <v>2646710.6</v>
      </c>
      <c r="F230" s="16">
        <v>1799010.3</v>
      </c>
      <c r="G230" s="17">
        <v>-0.43909787492444402</v>
      </c>
      <c r="H230" s="17">
        <v>-0.17479872127469201</v>
      </c>
      <c r="J230" s="9"/>
    </row>
    <row r="231" spans="1:10" ht="16.5" customHeight="1">
      <c r="A231" s="9"/>
      <c r="C231" s="15" t="s">
        <v>28</v>
      </c>
      <c r="D231" s="16">
        <v>1275707.56</v>
      </c>
      <c r="E231" s="16">
        <v>1518186.75</v>
      </c>
      <c r="F231" s="16">
        <v>227657.46</v>
      </c>
      <c r="G231" s="17">
        <v>-0.15971631289760599</v>
      </c>
      <c r="H231" s="17">
        <v>4.6036273092039197</v>
      </c>
      <c r="J231" s="9"/>
    </row>
    <row r="232" spans="1:10" ht="16.5" customHeight="1">
      <c r="A232" s="9"/>
      <c r="C232" s="15" t="s">
        <v>26</v>
      </c>
      <c r="D232" s="16">
        <v>1274980.5900000001</v>
      </c>
      <c r="E232" s="16">
        <v>988859.6</v>
      </c>
      <c r="F232" s="16">
        <v>1614339.79</v>
      </c>
      <c r="G232" s="17">
        <v>0.28934440238027698</v>
      </c>
      <c r="H232" s="17">
        <v>-0.21021547142810601</v>
      </c>
      <c r="J232" s="9"/>
    </row>
    <row r="233" spans="1:10" ht="16.5" customHeight="1">
      <c r="A233" s="9"/>
      <c r="C233" s="15" t="s">
        <v>27</v>
      </c>
      <c r="D233" s="16">
        <v>1254457.46</v>
      </c>
      <c r="E233" s="16">
        <v>5123900.71</v>
      </c>
      <c r="F233" s="16">
        <v>2145786.84</v>
      </c>
      <c r="G233" s="17">
        <v>-0.75517529885937196</v>
      </c>
      <c r="H233" s="17">
        <v>-0.41538579852600799</v>
      </c>
      <c r="J233" s="9"/>
    </row>
    <row r="234" spans="1:10" ht="16.5" customHeight="1">
      <c r="A234" s="9"/>
      <c r="C234" s="15" t="s">
        <v>29</v>
      </c>
      <c r="D234" s="16">
        <v>1166409.94</v>
      </c>
      <c r="E234" s="16">
        <v>5355833.78</v>
      </c>
      <c r="F234" s="16">
        <v>180924.48</v>
      </c>
      <c r="G234" s="17">
        <v>-0.78221692682927102</v>
      </c>
      <c r="H234" s="17">
        <v>5.4469437192800001</v>
      </c>
      <c r="J234" s="9"/>
    </row>
    <row r="235" spans="1:10" ht="16.5" customHeight="1">
      <c r="A235" s="9"/>
      <c r="C235" s="15" t="s">
        <v>31</v>
      </c>
      <c r="D235" s="16">
        <v>1054176.6100000001</v>
      </c>
      <c r="E235" s="16">
        <v>168177.09</v>
      </c>
      <c r="F235" s="16">
        <v>80905.440000000002</v>
      </c>
      <c r="G235" s="17">
        <v>5.2682533631661697</v>
      </c>
      <c r="H235" s="17">
        <v>12.0297370609442</v>
      </c>
      <c r="J235" s="9"/>
    </row>
    <row r="236" spans="1:10" ht="16.5" customHeight="1">
      <c r="A236" s="9"/>
      <c r="C236" s="15" t="s">
        <v>30</v>
      </c>
      <c r="D236" s="16">
        <v>1011081.95</v>
      </c>
      <c r="E236" s="16">
        <v>232002.57</v>
      </c>
      <c r="F236" s="16">
        <v>354080.79</v>
      </c>
      <c r="G236" s="17">
        <v>3.35806357662331</v>
      </c>
      <c r="H236" s="17">
        <v>1.8555120146450199</v>
      </c>
      <c r="J236" s="9"/>
    </row>
    <row r="237" spans="1:10" ht="16.5" customHeight="1">
      <c r="A237" s="9"/>
      <c r="C237" s="15" t="s">
        <v>32</v>
      </c>
      <c r="D237" s="16">
        <v>976872.07220000005</v>
      </c>
      <c r="E237" s="16">
        <v>658703.41969999997</v>
      </c>
      <c r="F237" s="16">
        <v>1175389.8999999999</v>
      </c>
      <c r="G237" s="17">
        <v>0.48302262138688601</v>
      </c>
      <c r="H237" s="17">
        <v>-0.168895298317605</v>
      </c>
      <c r="J237" s="9"/>
    </row>
    <row r="238" spans="1:10" ht="16.5" customHeight="1">
      <c r="A238" s="9"/>
      <c r="C238" s="15" t="s">
        <v>33</v>
      </c>
      <c r="D238" s="16">
        <v>786024.08</v>
      </c>
      <c r="E238" s="16">
        <v>268096.03999999998</v>
      </c>
      <c r="F238" s="16">
        <v>68597.52</v>
      </c>
      <c r="G238" s="17">
        <v>1.9318750101642701</v>
      </c>
      <c r="H238" s="17">
        <v>10.458491210761</v>
      </c>
      <c r="J238" s="9"/>
    </row>
    <row r="239" spans="1:10" ht="16.5" customHeight="1">
      <c r="A239" s="9"/>
      <c r="C239" s="15" t="s">
        <v>36</v>
      </c>
      <c r="D239" s="16">
        <v>782901</v>
      </c>
      <c r="E239" s="16">
        <v>488307.72</v>
      </c>
      <c r="F239" s="16">
        <v>865383.36</v>
      </c>
      <c r="G239" s="17">
        <v>0.60329433251638998</v>
      </c>
      <c r="H239" s="17">
        <v>-9.53130876008524E-2</v>
      </c>
      <c r="J239" s="9"/>
    </row>
    <row r="240" spans="1:10" ht="16.5" customHeight="1">
      <c r="A240" s="9"/>
      <c r="C240" s="15" t="s">
        <v>34</v>
      </c>
      <c r="D240" s="16">
        <v>771126.46</v>
      </c>
      <c r="E240" s="16">
        <v>630457.25</v>
      </c>
      <c r="F240" s="16">
        <v>842889.11</v>
      </c>
      <c r="G240" s="17">
        <v>0.22312251940952399</v>
      </c>
      <c r="H240" s="17">
        <v>-8.5138898045556702E-2</v>
      </c>
      <c r="J240" s="9"/>
    </row>
    <row r="241" spans="1:10" ht="16.5" customHeight="1">
      <c r="A241" s="9"/>
      <c r="C241" s="15" t="s">
        <v>35</v>
      </c>
      <c r="D241" s="16">
        <v>743916.45</v>
      </c>
      <c r="E241" s="16"/>
      <c r="F241" s="16">
        <v>196077.14</v>
      </c>
      <c r="G241" s="17"/>
      <c r="H241" s="17">
        <v>2.79399888227664</v>
      </c>
      <c r="J241" s="9"/>
    </row>
    <row r="242" spans="1:10" ht="16.5" customHeight="1">
      <c r="A242" s="9"/>
      <c r="C242" s="15" t="s">
        <v>37</v>
      </c>
      <c r="D242" s="16">
        <v>652291.19999999995</v>
      </c>
      <c r="E242" s="16">
        <v>158243.51999999999</v>
      </c>
      <c r="F242" s="16">
        <v>2150872.4300000002</v>
      </c>
      <c r="G242" s="17">
        <v>3.1220721075972002</v>
      </c>
      <c r="H242" s="17">
        <v>-0.69673180477746899</v>
      </c>
      <c r="J242" s="9"/>
    </row>
    <row r="243" spans="1:10" ht="16.5" customHeight="1">
      <c r="A243" s="9"/>
      <c r="C243" s="15" t="s">
        <v>38</v>
      </c>
      <c r="D243" s="16">
        <v>470720.48</v>
      </c>
      <c r="E243" s="16">
        <v>739073.52</v>
      </c>
      <c r="F243" s="16">
        <v>68681.36</v>
      </c>
      <c r="G243" s="17">
        <v>-0.36309383672682499</v>
      </c>
      <c r="H243" s="17">
        <v>5.8536860656224601</v>
      </c>
      <c r="J243" s="9"/>
    </row>
    <row r="244" spans="1:10" ht="16.5" customHeight="1">
      <c r="A244" s="9"/>
      <c r="C244" s="15" t="s">
        <v>39</v>
      </c>
      <c r="D244" s="16">
        <v>450807.07</v>
      </c>
      <c r="E244" s="16">
        <v>254659.68</v>
      </c>
      <c r="F244" s="16"/>
      <c r="G244" s="17">
        <v>0.77023339540833502</v>
      </c>
      <c r="H244" s="17"/>
      <c r="J244" s="9"/>
    </row>
    <row r="245" spans="1:10" ht="16.5" customHeight="1">
      <c r="A245" s="9"/>
      <c r="C245" s="15" t="s">
        <v>44</v>
      </c>
      <c r="D245" s="16">
        <v>442348.38</v>
      </c>
      <c r="E245" s="16">
        <v>281869.7</v>
      </c>
      <c r="F245" s="16">
        <v>236715.98</v>
      </c>
      <c r="G245" s="17">
        <v>0.56933639905247002</v>
      </c>
      <c r="H245" s="17">
        <v>0.86868829049901897</v>
      </c>
      <c r="J245" s="9"/>
    </row>
    <row r="246" spans="1:10" ht="16.5" customHeight="1">
      <c r="A246" s="9"/>
      <c r="C246" s="15" t="s">
        <v>41</v>
      </c>
      <c r="D246" s="16">
        <v>386407.64</v>
      </c>
      <c r="E246" s="16">
        <v>347293.44</v>
      </c>
      <c r="F246" s="16">
        <v>259512.44</v>
      </c>
      <c r="G246" s="17">
        <v>0.11262579563840899</v>
      </c>
      <c r="H246" s="17">
        <v>0.48897540326005201</v>
      </c>
      <c r="J246" s="9"/>
    </row>
    <row r="247" spans="1:10" ht="16.5" customHeight="1">
      <c r="A247" s="9"/>
      <c r="C247" s="15" t="s">
        <v>46</v>
      </c>
      <c r="D247" s="16">
        <v>345884.42</v>
      </c>
      <c r="E247" s="16">
        <v>159893.93</v>
      </c>
      <c r="F247" s="16">
        <v>175893.01</v>
      </c>
      <c r="G247" s="17">
        <v>1.1632116991558099</v>
      </c>
      <c r="H247" s="17">
        <v>0.96644778550324395</v>
      </c>
      <c r="J247" s="9"/>
    </row>
    <row r="248" spans="1:10" ht="16.5" customHeight="1">
      <c r="A248" s="9"/>
      <c r="C248" s="15" t="s">
        <v>49</v>
      </c>
      <c r="D248" s="16">
        <v>311902.75</v>
      </c>
      <c r="E248" s="16">
        <v>794496.4</v>
      </c>
      <c r="F248" s="16">
        <v>574324.28</v>
      </c>
      <c r="G248" s="17">
        <v>-0.60742081398984304</v>
      </c>
      <c r="H248" s="17">
        <v>-0.45692222867540999</v>
      </c>
      <c r="J248" s="9"/>
    </row>
    <row r="249" spans="1:10" ht="16.5" customHeight="1">
      <c r="A249" s="9"/>
      <c r="C249" s="15" t="s">
        <v>43</v>
      </c>
      <c r="D249" s="16">
        <v>306686.96000000002</v>
      </c>
      <c r="E249" s="16">
        <v>139145.82</v>
      </c>
      <c r="F249" s="16">
        <v>101000.89</v>
      </c>
      <c r="G249" s="17">
        <v>1.2040687963174199</v>
      </c>
      <c r="H249" s="17">
        <v>2.0364777973738599</v>
      </c>
      <c r="J249" s="9"/>
    </row>
    <row r="250" spans="1:10" ht="16.5" customHeight="1">
      <c r="A250" s="9"/>
      <c r="C250" s="15" t="s">
        <v>47</v>
      </c>
      <c r="D250" s="16">
        <v>305066.96000000002</v>
      </c>
      <c r="E250" s="16">
        <v>87618.5</v>
      </c>
      <c r="F250" s="16">
        <v>68493.399999999994</v>
      </c>
      <c r="G250" s="17">
        <v>2.48176423928737</v>
      </c>
      <c r="H250" s="17">
        <v>3.45396140358049</v>
      </c>
      <c r="J250" s="9"/>
    </row>
    <row r="251" spans="1:10" ht="16.5" customHeight="1">
      <c r="A251" s="9"/>
      <c r="C251" s="15" t="s">
        <v>42</v>
      </c>
      <c r="D251" s="16">
        <v>302356.8</v>
      </c>
      <c r="E251" s="16">
        <v>197740.79999999999</v>
      </c>
      <c r="F251" s="16"/>
      <c r="G251" s="17">
        <v>0.52905621905039402</v>
      </c>
      <c r="H251" s="17"/>
      <c r="J251" s="9"/>
    </row>
    <row r="252" spans="1:10" ht="16.5" customHeight="1">
      <c r="A252" s="9"/>
      <c r="C252" s="15" t="s">
        <v>40</v>
      </c>
      <c r="D252" s="16">
        <v>300583.52</v>
      </c>
      <c r="E252" s="16">
        <v>420618.23999999999</v>
      </c>
      <c r="F252" s="16">
        <v>721978.47</v>
      </c>
      <c r="G252" s="17">
        <v>-0.28537687761710001</v>
      </c>
      <c r="H252" s="17">
        <v>-0.58366692015068</v>
      </c>
      <c r="J252" s="9"/>
    </row>
    <row r="253" spans="1:10" ht="16.5" customHeight="1">
      <c r="A253" s="9"/>
      <c r="C253" s="15" t="s">
        <v>45</v>
      </c>
      <c r="D253" s="16">
        <v>244881.3</v>
      </c>
      <c r="E253" s="16">
        <v>197417.04</v>
      </c>
      <c r="F253" s="16">
        <v>162049.62</v>
      </c>
      <c r="G253" s="17">
        <v>0.24042635833259399</v>
      </c>
      <c r="H253" s="17">
        <v>0.51115010328318</v>
      </c>
      <c r="J253" s="9"/>
    </row>
    <row r="254" spans="1:10" ht="16.5" customHeight="1">
      <c r="A254" s="9"/>
      <c r="C254" s="15" t="s">
        <v>48</v>
      </c>
      <c r="D254" s="16">
        <v>212932.8</v>
      </c>
      <c r="E254" s="16">
        <v>234536.68</v>
      </c>
      <c r="F254" s="16">
        <v>68548</v>
      </c>
      <c r="G254" s="17">
        <v>-9.2113011917794904E-2</v>
      </c>
      <c r="H254" s="17">
        <v>2.1063313298710402</v>
      </c>
      <c r="J254" s="9"/>
    </row>
    <row r="255" spans="1:10" ht="16.5" customHeight="1">
      <c r="A255" s="9"/>
      <c r="C255" s="15" t="s">
        <v>51</v>
      </c>
      <c r="D255" s="16">
        <v>181634.92</v>
      </c>
      <c r="E255" s="16">
        <v>31510.91</v>
      </c>
      <c r="F255" s="16">
        <v>49410.44</v>
      </c>
      <c r="G255" s="17">
        <v>4.7641915133520403</v>
      </c>
      <c r="H255" s="17">
        <v>2.6760433624958599</v>
      </c>
      <c r="J255" s="9"/>
    </row>
    <row r="256" spans="1:10" ht="16.5" customHeight="1">
      <c r="A256" s="9"/>
      <c r="C256" s="15" t="s">
        <v>54</v>
      </c>
      <c r="D256" s="16">
        <v>176561.86</v>
      </c>
      <c r="E256" s="16">
        <v>147628.22</v>
      </c>
      <c r="F256" s="16"/>
      <c r="G256" s="17">
        <v>0.19598989949211601</v>
      </c>
      <c r="H256" s="17"/>
      <c r="J256" s="9"/>
    </row>
    <row r="257" spans="1:10" ht="16.5" customHeight="1">
      <c r="A257" s="9"/>
      <c r="C257" s="15" t="s">
        <v>53</v>
      </c>
      <c r="D257" s="16">
        <v>167804.55840000001</v>
      </c>
      <c r="E257" s="16"/>
      <c r="F257" s="16"/>
      <c r="G257" s="17"/>
      <c r="H257" s="17"/>
      <c r="J257" s="9"/>
    </row>
    <row r="258" spans="1:10" ht="16.5" customHeight="1">
      <c r="A258" s="9"/>
      <c r="C258" s="15" t="s">
        <v>55</v>
      </c>
      <c r="D258" s="16">
        <v>160479.35999999999</v>
      </c>
      <c r="E258" s="16"/>
      <c r="F258" s="16">
        <v>174510.72</v>
      </c>
      <c r="G258" s="17"/>
      <c r="H258" s="17">
        <v>-8.0404000396078895E-2</v>
      </c>
      <c r="J258" s="9"/>
    </row>
    <row r="259" spans="1:10" ht="16.5" customHeight="1">
      <c r="A259" s="9"/>
      <c r="C259" s="15" t="s">
        <v>52</v>
      </c>
      <c r="D259" s="16">
        <v>145886.39999999999</v>
      </c>
      <c r="E259" s="16">
        <v>127777.44</v>
      </c>
      <c r="F259" s="16">
        <v>118188.84</v>
      </c>
      <c r="G259" s="17">
        <v>0.141722670292972</v>
      </c>
      <c r="H259" s="17">
        <v>0.23435004523269701</v>
      </c>
      <c r="J259" s="9"/>
    </row>
    <row r="260" spans="1:10" ht="16.5" customHeight="1">
      <c r="A260" s="9"/>
      <c r="C260" s="15" t="s">
        <v>57</v>
      </c>
      <c r="D260" s="16">
        <v>129026.7412</v>
      </c>
      <c r="E260" s="16"/>
      <c r="F260" s="16">
        <v>105458.9</v>
      </c>
      <c r="G260" s="17"/>
      <c r="H260" s="17">
        <v>0.223478921172134</v>
      </c>
      <c r="J260" s="9"/>
    </row>
    <row r="261" spans="1:10" ht="16.5" customHeight="1">
      <c r="A261" s="9"/>
      <c r="C261" s="15" t="s">
        <v>56</v>
      </c>
      <c r="D261" s="16">
        <v>127713.60000000001</v>
      </c>
      <c r="E261" s="16"/>
      <c r="F261" s="16">
        <v>217976.49</v>
      </c>
      <c r="G261" s="17"/>
      <c r="H261" s="17">
        <v>-0.41409461176294698</v>
      </c>
      <c r="J261" s="9"/>
    </row>
    <row r="262" spans="1:10" ht="16.5" customHeight="1">
      <c r="A262" s="9"/>
      <c r="C262" s="15" t="s">
        <v>50</v>
      </c>
      <c r="D262" s="16">
        <v>112854</v>
      </c>
      <c r="E262" s="16">
        <v>45495.12</v>
      </c>
      <c r="F262" s="16">
        <v>702608.14</v>
      </c>
      <c r="G262" s="17">
        <v>1.4805737406561399</v>
      </c>
      <c r="H262" s="17">
        <v>-0.83937846208271905</v>
      </c>
      <c r="J262" s="9"/>
    </row>
    <row r="263" spans="1:10" ht="16.5" customHeight="1">
      <c r="A263" s="9"/>
      <c r="C263" s="15" t="s">
        <v>58</v>
      </c>
      <c r="D263" s="16">
        <v>103721.2</v>
      </c>
      <c r="E263" s="16"/>
      <c r="F263" s="16"/>
      <c r="G263" s="17"/>
      <c r="H263" s="17"/>
      <c r="J263" s="9"/>
    </row>
    <row r="264" spans="1:10" ht="16.5" customHeight="1">
      <c r="A264" s="9"/>
      <c r="C264" s="15" t="s">
        <v>62</v>
      </c>
      <c r="D264" s="16">
        <v>81256.34</v>
      </c>
      <c r="E264" s="16">
        <v>83745.88</v>
      </c>
      <c r="F264" s="16">
        <v>263212.92</v>
      </c>
      <c r="G264" s="17">
        <v>-2.9727313152599199E-2</v>
      </c>
      <c r="H264" s="17">
        <v>-0.691290457930409</v>
      </c>
      <c r="J264" s="9"/>
    </row>
    <row r="265" spans="1:10" ht="16.5" customHeight="1">
      <c r="A265" s="9"/>
      <c r="C265" s="15" t="s">
        <v>60</v>
      </c>
      <c r="D265" s="16">
        <v>80731.199999999997</v>
      </c>
      <c r="E265" s="16">
        <v>111961.3</v>
      </c>
      <c r="F265" s="16">
        <v>182806.8</v>
      </c>
      <c r="G265" s="17">
        <v>-0.27893656111531401</v>
      </c>
      <c r="H265" s="17">
        <v>-0.55837966640190595</v>
      </c>
      <c r="J265" s="9"/>
    </row>
    <row r="266" spans="1:10" ht="16.5" customHeight="1">
      <c r="A266" s="9"/>
      <c r="C266" s="15" t="s">
        <v>59</v>
      </c>
      <c r="D266" s="16">
        <v>66889.2</v>
      </c>
      <c r="E266" s="16">
        <v>152512.12</v>
      </c>
      <c r="F266" s="16">
        <v>369854.49</v>
      </c>
      <c r="G266" s="17">
        <v>-0.56141715163358796</v>
      </c>
      <c r="H266" s="17">
        <v>-0.81914725437022495</v>
      </c>
      <c r="J266" s="9"/>
    </row>
    <row r="267" spans="1:10" ht="16.5" customHeight="1">
      <c r="A267" s="9"/>
      <c r="C267" s="15" t="s">
        <v>63</v>
      </c>
      <c r="D267" s="16">
        <v>64561.49</v>
      </c>
      <c r="E267" s="16">
        <v>76065.66</v>
      </c>
      <c r="F267" s="16"/>
      <c r="G267" s="17">
        <v>-0.15123999449948899</v>
      </c>
      <c r="H267" s="17"/>
      <c r="J267" s="9"/>
    </row>
    <row r="268" spans="1:10" ht="16.5" customHeight="1">
      <c r="A268" s="9"/>
      <c r="C268" s="15" t="s">
        <v>61</v>
      </c>
      <c r="D268" s="16">
        <v>58949.88</v>
      </c>
      <c r="E268" s="16"/>
      <c r="F268" s="16"/>
      <c r="G268" s="17"/>
      <c r="H268" s="17"/>
      <c r="J268" s="9"/>
    </row>
    <row r="269" spans="1:10" ht="16.5" customHeight="1">
      <c r="A269" s="9"/>
      <c r="C269" s="15" t="s">
        <v>68</v>
      </c>
      <c r="D269" s="16">
        <v>52353</v>
      </c>
      <c r="E269" s="16">
        <v>138957.13</v>
      </c>
      <c r="F269" s="16">
        <v>265735.15999999997</v>
      </c>
      <c r="G269" s="17">
        <v>-0.62324351402479305</v>
      </c>
      <c r="H269" s="17">
        <v>-0.80298805773387305</v>
      </c>
      <c r="J269" s="9"/>
    </row>
    <row r="270" spans="1:10" ht="16.5" customHeight="1">
      <c r="A270" s="9"/>
      <c r="C270" s="15" t="s">
        <v>65</v>
      </c>
      <c r="D270" s="16">
        <v>51788</v>
      </c>
      <c r="E270" s="16"/>
      <c r="F270" s="16"/>
      <c r="G270" s="17"/>
      <c r="H270" s="17"/>
      <c r="J270" s="9"/>
    </row>
    <row r="271" spans="1:10" ht="16.5" customHeight="1">
      <c r="A271" s="9"/>
      <c r="C271" s="15" t="s">
        <v>67</v>
      </c>
      <c r="D271" s="16">
        <v>50595.916799999999</v>
      </c>
      <c r="E271" s="16">
        <v>29470.379400000002</v>
      </c>
      <c r="F271" s="16"/>
      <c r="G271" s="17">
        <v>0.71683968208431004</v>
      </c>
      <c r="H271" s="17"/>
      <c r="J271" s="9"/>
    </row>
    <row r="272" spans="1:10" ht="16.5" customHeight="1">
      <c r="A272" s="9"/>
      <c r="C272" s="15" t="s">
        <v>66</v>
      </c>
      <c r="D272" s="16">
        <v>45671.040000000001</v>
      </c>
      <c r="E272" s="16">
        <v>166198.53</v>
      </c>
      <c r="F272" s="16"/>
      <c r="G272" s="17">
        <v>-0.72520190160526699</v>
      </c>
      <c r="H272" s="17"/>
      <c r="J272" s="9"/>
    </row>
    <row r="273" spans="1:10" ht="16.5" customHeight="1">
      <c r="A273" s="9"/>
      <c r="C273" s="15" t="s">
        <v>64</v>
      </c>
      <c r="D273" s="16">
        <v>43508.32</v>
      </c>
      <c r="E273" s="16"/>
      <c r="F273" s="16"/>
      <c r="G273" s="17"/>
      <c r="H273" s="17"/>
      <c r="J273" s="9"/>
    </row>
    <row r="274" spans="1:10" ht="16.5" customHeight="1">
      <c r="A274" s="9"/>
      <c r="C274" s="15" t="s">
        <v>71</v>
      </c>
      <c r="D274" s="16">
        <v>31200</v>
      </c>
      <c r="E274" s="16">
        <v>145805.64000000001</v>
      </c>
      <c r="F274" s="16">
        <v>40917.35</v>
      </c>
      <c r="G274" s="17">
        <v>-0.78601650800339395</v>
      </c>
      <c r="H274" s="17">
        <v>-0.237487276179909</v>
      </c>
      <c r="J274" s="9"/>
    </row>
    <row r="275" spans="1:10" ht="16.5" customHeight="1">
      <c r="A275" s="9"/>
      <c r="C275" s="15" t="s">
        <v>69</v>
      </c>
      <c r="D275" s="16">
        <v>27709.599999999999</v>
      </c>
      <c r="E275" s="16"/>
      <c r="F275" s="16"/>
      <c r="G275" s="17"/>
      <c r="H275" s="17"/>
      <c r="J275" s="9"/>
    </row>
    <row r="276" spans="1:10" ht="16.5" customHeight="1">
      <c r="A276" s="9"/>
      <c r="C276" s="15" t="s">
        <v>70</v>
      </c>
      <c r="D276" s="16">
        <v>25297.9584</v>
      </c>
      <c r="E276" s="16"/>
      <c r="F276" s="16">
        <v>20119</v>
      </c>
      <c r="G276" s="17"/>
      <c r="H276" s="17">
        <v>0.25741629305631503</v>
      </c>
      <c r="J276" s="9"/>
    </row>
    <row r="277" spans="1:10" ht="16.5" customHeight="1">
      <c r="A277" s="9"/>
      <c r="C277" s="15" t="s">
        <v>73</v>
      </c>
      <c r="D277" s="16">
        <v>22692.195800000001</v>
      </c>
      <c r="E277" s="16">
        <v>48908.06</v>
      </c>
      <c r="F277" s="16">
        <v>109707.84</v>
      </c>
      <c r="G277" s="17">
        <v>-0.53602339164546697</v>
      </c>
      <c r="H277" s="17">
        <v>-0.79315793839346405</v>
      </c>
      <c r="J277" s="9"/>
    </row>
    <row r="278" spans="1:10" ht="16.5" customHeight="1">
      <c r="A278" s="9"/>
      <c r="C278" s="15" t="s">
        <v>74</v>
      </c>
      <c r="D278" s="16">
        <v>18451.16</v>
      </c>
      <c r="E278" s="16">
        <v>15168</v>
      </c>
      <c r="F278" s="16">
        <v>105244.52</v>
      </c>
      <c r="G278" s="17">
        <v>0.21645305907172999</v>
      </c>
      <c r="H278" s="17">
        <v>-0.82468293836106599</v>
      </c>
      <c r="J278" s="9"/>
    </row>
    <row r="279" spans="1:10" ht="16.5" customHeight="1">
      <c r="A279" s="9"/>
      <c r="C279" s="15" t="s">
        <v>72</v>
      </c>
      <c r="D279" s="16">
        <v>17838.72</v>
      </c>
      <c r="E279" s="16">
        <v>43337.43</v>
      </c>
      <c r="F279" s="16">
        <v>10506.48</v>
      </c>
      <c r="G279" s="17">
        <v>-0.58837614505520996</v>
      </c>
      <c r="H279" s="17">
        <v>0.69787788107910598</v>
      </c>
      <c r="J279" s="9"/>
    </row>
    <row r="280" spans="1:10" ht="16.5" customHeight="1">
      <c r="A280" s="9"/>
      <c r="C280" s="15" t="s">
        <v>75</v>
      </c>
      <c r="D280" s="16"/>
      <c r="E280" s="16"/>
      <c r="F280" s="16">
        <v>13675.2</v>
      </c>
      <c r="G280" s="17"/>
      <c r="H280" s="17">
        <v>-1</v>
      </c>
      <c r="J280" s="9"/>
    </row>
    <row r="281" spans="1:10" ht="16.5" customHeight="1">
      <c r="A281" s="9"/>
      <c r="C281" s="15" t="s">
        <v>76</v>
      </c>
      <c r="D281" s="16"/>
      <c r="E281" s="16">
        <v>2904573.24</v>
      </c>
      <c r="F281" s="16">
        <v>1502660.69</v>
      </c>
      <c r="G281" s="17">
        <v>-1</v>
      </c>
      <c r="H281" s="17">
        <v>-1</v>
      </c>
      <c r="J281" s="9"/>
    </row>
    <row r="282" spans="1:10" ht="16.5" customHeight="1">
      <c r="A282" s="9"/>
      <c r="C282" s="15" t="s">
        <v>77</v>
      </c>
      <c r="D282" s="16"/>
      <c r="E282" s="16">
        <v>20856.48</v>
      </c>
      <c r="F282" s="16"/>
      <c r="G282" s="17">
        <v>-1</v>
      </c>
      <c r="H282" s="17"/>
      <c r="J282" s="9"/>
    </row>
    <row r="283" spans="1:10" ht="16.5" customHeight="1">
      <c r="A283" s="9"/>
      <c r="C283" s="15" t="s">
        <v>78</v>
      </c>
      <c r="D283" s="16"/>
      <c r="E283" s="16"/>
      <c r="F283" s="16">
        <v>25895.06</v>
      </c>
      <c r="G283" s="17"/>
      <c r="H283" s="17">
        <v>-1</v>
      </c>
      <c r="J283" s="9"/>
    </row>
    <row r="284" spans="1:10" ht="16.5" customHeight="1">
      <c r="A284" s="9"/>
      <c r="C284" s="15" t="s">
        <v>79</v>
      </c>
      <c r="D284" s="16"/>
      <c r="E284" s="16"/>
      <c r="F284" s="16">
        <v>12212.16</v>
      </c>
      <c r="G284" s="17"/>
      <c r="H284" s="17">
        <v>-1</v>
      </c>
      <c r="J284" s="9"/>
    </row>
    <row r="285" spans="1:10" ht="16.5" customHeight="1">
      <c r="A285" s="9"/>
      <c r="C285" s="15" t="s">
        <v>80</v>
      </c>
      <c r="D285" s="16"/>
      <c r="E285" s="16"/>
      <c r="F285" s="16">
        <v>351573</v>
      </c>
      <c r="G285" s="17"/>
      <c r="H285" s="17">
        <v>-1</v>
      </c>
      <c r="J285" s="9"/>
    </row>
    <row r="286" spans="1:10" ht="16.5" customHeight="1">
      <c r="A286" s="9"/>
      <c r="C286" s="15" t="s">
        <v>81</v>
      </c>
      <c r="D286" s="16"/>
      <c r="E286" s="16"/>
      <c r="F286" s="16">
        <v>31358.19</v>
      </c>
      <c r="G286" s="17"/>
      <c r="H286" s="17">
        <v>-1</v>
      </c>
      <c r="J286" s="9"/>
    </row>
    <row r="287" spans="1:10" ht="16.5" customHeight="1">
      <c r="A287" s="9"/>
      <c r="C287" s="15" t="s">
        <v>82</v>
      </c>
      <c r="D287" s="16"/>
      <c r="E287" s="16"/>
      <c r="F287" s="16">
        <v>179411.05</v>
      </c>
      <c r="G287" s="17"/>
      <c r="H287" s="17">
        <v>-1</v>
      </c>
      <c r="J287" s="9"/>
    </row>
    <row r="288" spans="1:10" ht="16.5" customHeight="1">
      <c r="A288" s="9"/>
      <c r="C288" s="15" t="s">
        <v>83</v>
      </c>
      <c r="D288" s="16"/>
      <c r="E288" s="16"/>
      <c r="F288" s="16">
        <v>53824</v>
      </c>
      <c r="G288" s="17"/>
      <c r="H288" s="17">
        <v>-1</v>
      </c>
      <c r="J288" s="9"/>
    </row>
    <row r="289" spans="1:10" ht="16.5" customHeight="1">
      <c r="A289" s="9"/>
      <c r="C289" s="15" t="s">
        <v>84</v>
      </c>
      <c r="D289" s="16"/>
      <c r="E289" s="16"/>
      <c r="F289" s="16">
        <v>158259.85</v>
      </c>
      <c r="G289" s="17"/>
      <c r="H289" s="17">
        <v>-1</v>
      </c>
      <c r="J289" s="9"/>
    </row>
    <row r="290" spans="1:10" ht="16.5" customHeight="1">
      <c r="A290" s="9"/>
      <c r="C290" s="15" t="s">
        <v>85</v>
      </c>
      <c r="D290" s="16"/>
      <c r="E290" s="16">
        <v>263247.53999999998</v>
      </c>
      <c r="F290" s="16"/>
      <c r="G290" s="17">
        <v>-1</v>
      </c>
      <c r="H290" s="17"/>
      <c r="J290" s="9"/>
    </row>
    <row r="291" spans="1:10" ht="16.5" customHeight="1">
      <c r="A291" s="9"/>
      <c r="C291" s="15" t="s">
        <v>86</v>
      </c>
      <c r="D291" s="16"/>
      <c r="E291" s="16">
        <v>28842.720000000001</v>
      </c>
      <c r="F291" s="16">
        <v>26104.32</v>
      </c>
      <c r="G291" s="17">
        <v>-1</v>
      </c>
      <c r="H291" s="17">
        <v>-1</v>
      </c>
      <c r="J291" s="9"/>
    </row>
    <row r="292" spans="1:10" ht="16.5" customHeight="1">
      <c r="A292" s="9"/>
      <c r="C292" s="15" t="s">
        <v>87</v>
      </c>
      <c r="D292" s="16"/>
      <c r="E292" s="16">
        <v>29821.200000000001</v>
      </c>
      <c r="F292" s="16">
        <v>36448.199999999997</v>
      </c>
      <c r="G292" s="17">
        <v>-1</v>
      </c>
      <c r="H292" s="17">
        <v>-1</v>
      </c>
      <c r="J292" s="9"/>
    </row>
    <row r="293" spans="1:10" ht="16.5" customHeight="1">
      <c r="A293" s="9"/>
      <c r="C293" s="15" t="s">
        <v>88</v>
      </c>
      <c r="D293" s="16"/>
      <c r="E293" s="16"/>
      <c r="F293" s="16">
        <v>421930.08</v>
      </c>
      <c r="G293" s="17"/>
      <c r="H293" s="17">
        <v>-1</v>
      </c>
      <c r="J293" s="9"/>
    </row>
    <row r="294" spans="1:10" ht="16.5" customHeight="1">
      <c r="A294" s="9"/>
      <c r="C294" s="15" t="s">
        <v>89</v>
      </c>
      <c r="D294" s="16"/>
      <c r="E294" s="16">
        <v>97668</v>
      </c>
      <c r="F294" s="16"/>
      <c r="G294" s="17">
        <v>-1</v>
      </c>
      <c r="H294" s="17"/>
      <c r="J294" s="9"/>
    </row>
    <row r="295" spans="1:10" ht="16.5" customHeight="1">
      <c r="A295" s="9"/>
      <c r="C295" s="15" t="s">
        <v>90</v>
      </c>
      <c r="D295" s="16"/>
      <c r="E295" s="16"/>
      <c r="F295" s="16">
        <v>46667.28</v>
      </c>
      <c r="G295" s="17"/>
      <c r="H295" s="17">
        <v>-1</v>
      </c>
      <c r="J295" s="9"/>
    </row>
    <row r="296" spans="1:10" ht="16.5" customHeight="1">
      <c r="A296" s="9"/>
      <c r="C296" s="15" t="s">
        <v>91</v>
      </c>
      <c r="D296" s="16"/>
      <c r="E296" s="16">
        <v>94726.528000000006</v>
      </c>
      <c r="F296" s="16">
        <v>72455.679999999993</v>
      </c>
      <c r="G296" s="17">
        <v>-1</v>
      </c>
      <c r="H296" s="17">
        <v>-1</v>
      </c>
      <c r="J296" s="9"/>
    </row>
    <row r="297" spans="1:10" ht="16.5" customHeight="1">
      <c r="A297" s="9"/>
      <c r="C297" s="15" t="s">
        <v>92</v>
      </c>
      <c r="D297" s="16"/>
      <c r="E297" s="16">
        <v>15177.27</v>
      </c>
      <c r="F297" s="16"/>
      <c r="G297" s="17">
        <v>-1</v>
      </c>
      <c r="H297" s="17"/>
      <c r="J297" s="9"/>
    </row>
    <row r="298" spans="1:10" ht="16.5" customHeight="1">
      <c r="A298" s="9"/>
      <c r="C298" s="15" t="s">
        <v>93</v>
      </c>
      <c r="D298" s="16"/>
      <c r="E298" s="16">
        <v>60961.88</v>
      </c>
      <c r="F298" s="16"/>
      <c r="G298" s="17">
        <v>-1</v>
      </c>
      <c r="H298" s="17"/>
      <c r="J298" s="9"/>
    </row>
    <row r="299" spans="1:10" ht="16.5" customHeight="1">
      <c r="A299" s="9"/>
      <c r="C299" s="15" t="s">
        <v>94</v>
      </c>
      <c r="D299" s="16"/>
      <c r="E299" s="16"/>
      <c r="F299" s="16">
        <v>133331.1</v>
      </c>
      <c r="G299" s="17"/>
      <c r="H299" s="17">
        <v>-1</v>
      </c>
      <c r="J299" s="9"/>
    </row>
    <row r="300" spans="1:10" ht="16.5" customHeight="1">
      <c r="A300" s="9"/>
      <c r="C300" s="15" t="s">
        <v>95</v>
      </c>
      <c r="D300" s="16"/>
      <c r="E300" s="16">
        <v>225547.08</v>
      </c>
      <c r="F300" s="16">
        <v>160660.34</v>
      </c>
      <c r="G300" s="17">
        <v>-1</v>
      </c>
      <c r="H300" s="17">
        <v>-1</v>
      </c>
      <c r="J300" s="9"/>
    </row>
    <row r="301" spans="1:10" ht="16.5" customHeight="1">
      <c r="A301" s="9"/>
      <c r="C301" s="15" t="s">
        <v>96</v>
      </c>
      <c r="D301" s="16"/>
      <c r="E301" s="16">
        <v>1298210.6100000001</v>
      </c>
      <c r="F301" s="16">
        <v>814189.91</v>
      </c>
      <c r="G301" s="17">
        <v>-1</v>
      </c>
      <c r="H301" s="17">
        <v>-1</v>
      </c>
      <c r="J301" s="9"/>
    </row>
    <row r="302" spans="1:10" ht="16.5" customHeight="1">
      <c r="A302" s="9"/>
      <c r="C302" s="15" t="s">
        <v>97</v>
      </c>
      <c r="D302" s="16"/>
      <c r="E302" s="16">
        <v>241320.1</v>
      </c>
      <c r="F302" s="16">
        <v>1782788.57</v>
      </c>
      <c r="G302" s="17">
        <v>-1</v>
      </c>
      <c r="H302" s="17">
        <v>-1</v>
      </c>
      <c r="J302" s="9"/>
    </row>
    <row r="303" spans="1:10" ht="16.5" customHeight="1">
      <c r="A303" s="9"/>
      <c r="C303" s="15" t="s">
        <v>98</v>
      </c>
      <c r="D303" s="16"/>
      <c r="E303" s="16">
        <v>119613</v>
      </c>
      <c r="F303" s="16"/>
      <c r="G303" s="17">
        <v>-1</v>
      </c>
      <c r="H303" s="17"/>
      <c r="J303" s="9"/>
    </row>
    <row r="304" spans="1:10" ht="16.5" customHeight="1">
      <c r="A304" s="9"/>
      <c r="C304" s="15" t="s">
        <v>99</v>
      </c>
      <c r="D304" s="16"/>
      <c r="E304" s="16">
        <v>9292.7999999999993</v>
      </c>
      <c r="F304" s="16">
        <v>16774.79</v>
      </c>
      <c r="G304" s="17">
        <v>-1</v>
      </c>
      <c r="H304" s="17">
        <v>-1</v>
      </c>
      <c r="J304" s="9"/>
    </row>
    <row r="305" spans="1:10" ht="16.5" customHeight="1">
      <c r="A305" s="9"/>
      <c r="C305" s="2" t="s">
        <v>8</v>
      </c>
      <c r="D305" s="12">
        <f>SUBTOTAL(109,PaisReceitaAcumulado['[CY']])</f>
        <v>55795886.883700021</v>
      </c>
      <c r="E305" s="12">
        <f>SUBTOTAL(109,PaisReceitaAcumulado['[LY']])</f>
        <v>61258619.975499995</v>
      </c>
      <c r="F305" s="12">
        <f>SUBTOTAL(109,PaisReceitaAcumulado['[2YA']])</f>
        <v>52425681.519999988</v>
      </c>
      <c r="G305" s="8">
        <f>PaisReceitaAcumulado[[#Totals],['[CY']]]/PaisReceitaAcumulado[[#Totals],['[LY']]]-1</f>
        <v>-8.9174929079119947E-2</v>
      </c>
      <c r="H305" s="8">
        <f>PaisReceitaAcumulado[[#Totals],['[CY']]]/PaisReceitaAcumulado[[#Totals],['[2YA']]]-1</f>
        <v>6.4285389640844626E-2</v>
      </c>
      <c r="J305" s="9"/>
    </row>
    <row r="306" spans="1:10" ht="16.5" customHeight="1">
      <c r="A306" s="9"/>
      <c r="C306" s="7" t="s">
        <v>9</v>
      </c>
      <c r="J306" s="9"/>
    </row>
    <row r="307" spans="1:10" ht="16.5" customHeight="1">
      <c r="A307" s="9"/>
      <c r="J307" s="9"/>
    </row>
    <row r="308" spans="1:10" ht="16.5" customHeight="1">
      <c r="A308" s="9"/>
      <c r="C308" s="1" t="str" cm="1">
        <f t="array" ref="C308:H317">_xlfn._xlws.SORT(_xlfn._xlws.FILTER(PaisReceitaAcumulado[],PaisReceitaAcumulado['[CY']]&gt;=LARGE(PaisReceitaAcumulado['[CY']],10)),2,1)</f>
        <v>Emirados Árabes Unidos</v>
      </c>
      <c r="D308" s="1">
        <v>1736245.4452</v>
      </c>
      <c r="E308" s="1">
        <v>686182.95799999998</v>
      </c>
      <c r="F308" s="1">
        <v>266816.99</v>
      </c>
      <c r="G308" s="1">
        <v>1.5302952003654999</v>
      </c>
      <c r="H308" s="1">
        <v>5.5072522000941504</v>
      </c>
      <c r="J308" s="9"/>
    </row>
    <row r="309" spans="1:10" ht="16.5" customHeight="1">
      <c r="A309" s="9"/>
      <c r="C309" s="1" t="str">
        <v>Canadá</v>
      </c>
      <c r="D309" s="1">
        <v>1932368.5556999999</v>
      </c>
      <c r="E309" s="1">
        <v>2348431.7703999998</v>
      </c>
      <c r="F309" s="1">
        <v>4263212.8</v>
      </c>
      <c r="G309" s="1">
        <v>-0.17716640523438901</v>
      </c>
      <c r="H309" s="1">
        <v>-0.54673420109359805</v>
      </c>
      <c r="J309" s="9"/>
    </row>
    <row r="310" spans="1:10" ht="16.5" customHeight="1">
      <c r="A310" s="9"/>
      <c r="C310" s="1" t="str">
        <v>Peru</v>
      </c>
      <c r="D310" s="1">
        <v>1953665.6</v>
      </c>
      <c r="E310" s="1">
        <v>1470151.01</v>
      </c>
      <c r="F310" s="1">
        <v>981645.78</v>
      </c>
      <c r="G310" s="1">
        <v>0.32888770385567401</v>
      </c>
      <c r="H310" s="1">
        <v>0.99019405961282603</v>
      </c>
      <c r="J310" s="9"/>
    </row>
    <row r="311" spans="1:10" ht="16.5" customHeight="1">
      <c r="A311" s="9"/>
      <c r="C311" s="1" t="str">
        <v>Rússia</v>
      </c>
      <c r="D311" s="1">
        <v>2319977.4300000002</v>
      </c>
      <c r="E311" s="1">
        <v>923174</v>
      </c>
      <c r="F311" s="1">
        <v>4556785.3</v>
      </c>
      <c r="G311" s="1">
        <v>1.51304459397687</v>
      </c>
      <c r="H311" s="1">
        <v>-0.490874097140368</v>
      </c>
      <c r="J311" s="9"/>
    </row>
    <row r="312" spans="1:10" ht="16.5" customHeight="1">
      <c r="A312" s="9"/>
      <c r="C312" s="1" t="str">
        <v>Alemanha</v>
      </c>
      <c r="D312" s="1">
        <v>2584321.61</v>
      </c>
      <c r="E312" s="1">
        <v>1127929.3999999999</v>
      </c>
      <c r="F312" s="1">
        <v>949212.58</v>
      </c>
      <c r="G312" s="1">
        <v>1.2912086607548301</v>
      </c>
      <c r="H312" s="1">
        <v>1.72259519569368</v>
      </c>
      <c r="J312" s="9"/>
    </row>
    <row r="313" spans="1:10" ht="16.5" customHeight="1">
      <c r="A313" s="9"/>
      <c r="C313" s="1" t="str">
        <v>Países Baixos (Holanda)</v>
      </c>
      <c r="D313" s="1">
        <v>2602393.75</v>
      </c>
      <c r="E313" s="1">
        <v>1009900.72</v>
      </c>
      <c r="F313" s="1">
        <v>1512916.2</v>
      </c>
      <c r="G313" s="1">
        <v>1.5768807749736</v>
      </c>
      <c r="H313" s="1">
        <v>0.72011757822409495</v>
      </c>
      <c r="J313" s="9"/>
    </row>
    <row r="314" spans="1:10" ht="16.5" customHeight="1">
      <c r="A314" s="9"/>
      <c r="C314" s="1" t="str">
        <v>Chile</v>
      </c>
      <c r="D314" s="1">
        <v>2679540.73</v>
      </c>
      <c r="E314" s="1">
        <v>432144.96</v>
      </c>
      <c r="F314" s="1">
        <v>1674482.6</v>
      </c>
      <c r="G314" s="1">
        <v>5.2005599463661403</v>
      </c>
      <c r="H314" s="1">
        <v>0.60022010978197105</v>
      </c>
      <c r="J314" s="9"/>
    </row>
    <row r="315" spans="1:10" ht="16.5" customHeight="1">
      <c r="A315" s="9"/>
      <c r="C315" s="1" t="str">
        <v>Japão</v>
      </c>
      <c r="D315" s="1">
        <v>3392038.59</v>
      </c>
      <c r="E315" s="1">
        <v>2911806.25</v>
      </c>
      <c r="F315" s="1">
        <v>3373634.74</v>
      </c>
      <c r="G315" s="1">
        <v>0.16492592527404601</v>
      </c>
      <c r="H315" s="1">
        <v>5.4551993379103898E-3</v>
      </c>
      <c r="J315" s="9"/>
    </row>
    <row r="316" spans="1:10" ht="16.5" customHeight="1">
      <c r="A316" s="9"/>
      <c r="C316" s="1" t="str">
        <v>Polônia</v>
      </c>
      <c r="D316" s="1">
        <v>3981090.69</v>
      </c>
      <c r="E316" s="1">
        <v>2026808.62</v>
      </c>
      <c r="F316" s="1">
        <v>1384681.11</v>
      </c>
      <c r="G316" s="1">
        <v>0.96421637973890195</v>
      </c>
      <c r="H316" s="1">
        <v>1.8750956889994701</v>
      </c>
      <c r="J316" s="9"/>
    </row>
    <row r="317" spans="1:10" ht="16.5" customHeight="1">
      <c r="A317" s="9"/>
      <c r="C317" s="1" t="str">
        <v>Estados Unidos</v>
      </c>
      <c r="D317" s="1">
        <v>11728159.369999999</v>
      </c>
      <c r="E317" s="1">
        <v>18107292.219999999</v>
      </c>
      <c r="F317" s="1">
        <v>10746703.85</v>
      </c>
      <c r="G317" s="1">
        <v>-0.35229634406375099</v>
      </c>
      <c r="H317" s="1">
        <v>9.1326190215989006E-2</v>
      </c>
      <c r="J317" s="9"/>
    </row>
    <row r="318" spans="1:10" ht="16.5" customHeight="1">
      <c r="A318" s="9"/>
      <c r="J318" s="9"/>
    </row>
    <row r="319" spans="1:10" ht="16.5" customHeight="1">
      <c r="A319" s="9"/>
      <c r="J319" s="9"/>
    </row>
    <row r="320" spans="1:10" ht="16.5" customHeight="1">
      <c r="A320" s="9"/>
      <c r="J320" s="9"/>
    </row>
    <row r="321" spans="1:10" ht="16.5" customHeight="1">
      <c r="A321" s="9"/>
      <c r="J321" s="9"/>
    </row>
    <row r="322" spans="1:10" ht="16.5" customHeight="1">
      <c r="A322" s="9"/>
      <c r="J322" s="9"/>
    </row>
    <row r="323" spans="1:10" ht="16.5" customHeight="1">
      <c r="A323" s="9"/>
      <c r="J323" s="9"/>
    </row>
    <row r="324" spans="1:10" ht="16.5" customHeight="1">
      <c r="A324" s="9"/>
      <c r="J324" s="9"/>
    </row>
    <row r="325" spans="1:10" ht="16.5" customHeight="1">
      <c r="A325" s="9"/>
      <c r="J325" s="9"/>
    </row>
    <row r="326" spans="1:10" ht="16.5" customHeight="1">
      <c r="A326" s="9"/>
      <c r="J326" s="9"/>
    </row>
    <row r="327" spans="1:10" ht="16.5" customHeight="1">
      <c r="A327" s="9"/>
      <c r="J327" s="9"/>
    </row>
    <row r="328" spans="1:10" ht="16.5" customHeight="1">
      <c r="A328" s="9"/>
      <c r="J328" s="9"/>
    </row>
    <row r="329" spans="1:10" ht="16.5" customHeight="1">
      <c r="A329" s="9"/>
      <c r="J329" s="9"/>
    </row>
    <row r="330" spans="1:10" ht="16.5" customHeight="1">
      <c r="A330" s="9"/>
      <c r="J330" s="9"/>
    </row>
    <row r="331" spans="1:10" ht="16.5" customHeight="1">
      <c r="A331" s="9"/>
      <c r="J331" s="9"/>
    </row>
    <row r="332" spans="1:10" ht="16.5" customHeight="1">
      <c r="A332" s="9"/>
      <c r="J332" s="9"/>
    </row>
    <row r="333" spans="1:10" ht="16.5" customHeight="1">
      <c r="A333" s="9"/>
      <c r="J333" s="9"/>
    </row>
    <row r="334" spans="1:10" ht="16.5" customHeight="1">
      <c r="A334" s="9"/>
      <c r="J334" s="9"/>
    </row>
    <row r="335" spans="1:10" ht="16.5" customHeight="1">
      <c r="A335" s="9"/>
      <c r="J335" s="9"/>
    </row>
    <row r="336" spans="1:10" ht="16.5" customHeight="1">
      <c r="A336" s="9"/>
      <c r="J336" s="9"/>
    </row>
    <row r="337" spans="1:10" ht="16.5" customHeight="1">
      <c r="A337" s="9"/>
      <c r="J337" s="9"/>
    </row>
    <row r="338" spans="1:10" ht="16.5" customHeight="1">
      <c r="A338" s="9"/>
      <c r="J338" s="9"/>
    </row>
    <row r="339" spans="1:10" ht="16.5" customHeight="1">
      <c r="A339" s="9"/>
      <c r="J339" s="9"/>
    </row>
    <row r="340" spans="1:10" ht="16.5" customHeight="1">
      <c r="A340" s="9"/>
      <c r="J340" s="9"/>
    </row>
    <row r="341" spans="1:10" ht="16.5" customHeight="1">
      <c r="A341" s="9"/>
      <c r="J341" s="9"/>
    </row>
    <row r="342" spans="1:10" ht="16.5" customHeight="1">
      <c r="A342" s="9"/>
      <c r="J342" s="9"/>
    </row>
    <row r="343" spans="1:10" ht="16.5" customHeight="1">
      <c r="A343" s="9"/>
      <c r="J343" s="9"/>
    </row>
    <row r="344" spans="1:10" ht="16.5" customHeight="1">
      <c r="A344" s="9"/>
      <c r="J344" s="9"/>
    </row>
    <row r="345" spans="1:10" ht="16.5" customHeight="1">
      <c r="A345" s="9"/>
      <c r="J345" s="9"/>
    </row>
    <row r="346" spans="1:10" ht="16.5" customHeight="1">
      <c r="A346" s="9"/>
      <c r="J346" s="9"/>
    </row>
    <row r="347" spans="1:10" ht="16.5" customHeight="1">
      <c r="A347" s="9"/>
      <c r="J347" s="9"/>
    </row>
    <row r="348" spans="1:10" ht="16.5" customHeight="1">
      <c r="A348" s="9"/>
      <c r="J348" s="9"/>
    </row>
    <row r="349" spans="1:10" ht="16.5" customHeight="1">
      <c r="A349" s="9"/>
      <c r="J349" s="9"/>
    </row>
    <row r="350" spans="1:10" ht="16.5" customHeight="1">
      <c r="A350" s="9"/>
      <c r="J350" s="9"/>
    </row>
    <row r="351" spans="1:10" ht="16.5" customHeight="1">
      <c r="A351" s="9"/>
      <c r="J351" s="9"/>
    </row>
    <row r="352" spans="1:10" ht="16.5" customHeight="1">
      <c r="A352" s="9"/>
      <c r="J352" s="9"/>
    </row>
    <row r="353" spans="1:10" ht="16.5" customHeight="1">
      <c r="A353" s="9"/>
      <c r="J353" s="9"/>
    </row>
    <row r="354" spans="1:10" ht="16.5" customHeight="1">
      <c r="A354" s="9"/>
      <c r="J354" s="9"/>
    </row>
    <row r="355" spans="1:10" ht="16.5" customHeight="1">
      <c r="A355" s="9"/>
      <c r="J355" s="9"/>
    </row>
    <row r="356" spans="1:10" ht="16.5" customHeight="1">
      <c r="A356" s="9"/>
      <c r="J356" s="9"/>
    </row>
    <row r="357" spans="1:10" ht="16.5" customHeight="1">
      <c r="A357" s="9"/>
      <c r="J357" s="9"/>
    </row>
    <row r="358" spans="1:10" ht="16.5" customHeight="1">
      <c r="A358" s="9"/>
      <c r="J358" s="9"/>
    </row>
    <row r="359" spans="1:10" ht="16.5" customHeight="1">
      <c r="A359" s="9"/>
      <c r="J359" s="9"/>
    </row>
    <row r="360" spans="1:10" ht="16.5" customHeight="1">
      <c r="A360" s="9"/>
      <c r="J360" s="9"/>
    </row>
    <row r="361" spans="1:10" ht="16.5" customHeight="1">
      <c r="A361" s="9"/>
      <c r="J361" s="9"/>
    </row>
    <row r="362" spans="1:10" ht="16.5" customHeight="1">
      <c r="A362" s="9"/>
      <c r="J362" s="9"/>
    </row>
    <row r="363" spans="1:10" ht="16.5" customHeight="1">
      <c r="A363" s="9"/>
      <c r="J363" s="9"/>
    </row>
    <row r="364" spans="1:10" ht="16.5" customHeight="1">
      <c r="A364" s="9"/>
      <c r="J364" s="9"/>
    </row>
    <row r="365" spans="1:10" ht="16.5" customHeight="1">
      <c r="A365" s="9"/>
      <c r="J365" s="9"/>
    </row>
    <row r="366" spans="1:10" ht="16.5" customHeight="1">
      <c r="A366" s="9"/>
      <c r="J366" s="9"/>
    </row>
    <row r="367" spans="1:10" ht="16.5" customHeight="1">
      <c r="A367" s="9"/>
      <c r="J367" s="9"/>
    </row>
    <row r="368" spans="1:10" ht="16.5" customHeight="1">
      <c r="A368" s="9"/>
      <c r="J368" s="9"/>
    </row>
    <row r="369" spans="1:10" ht="16.5" customHeight="1">
      <c r="A369" s="9"/>
      <c r="J369" s="9"/>
    </row>
    <row r="370" spans="1:10" ht="16.5" customHeight="1">
      <c r="A370" s="9"/>
      <c r="J370" s="9"/>
    </row>
    <row r="371" spans="1:10" ht="16.5" customHeight="1">
      <c r="A371" s="9"/>
      <c r="J371" s="9"/>
    </row>
    <row r="372" spans="1:10" ht="16.5" customHeight="1">
      <c r="A372" s="9"/>
      <c r="J372" s="9"/>
    </row>
    <row r="373" spans="1:10" ht="16.5" customHeight="1">
      <c r="A373" s="9"/>
      <c r="J373" s="9"/>
    </row>
    <row r="374" spans="1:10" ht="16.5" customHeight="1">
      <c r="A374" s="9"/>
      <c r="J374" s="9"/>
    </row>
    <row r="375" spans="1:10" ht="16.5" customHeight="1">
      <c r="A375" s="9"/>
      <c r="J375" s="9"/>
    </row>
    <row r="376" spans="1:10" ht="16.5" customHeight="1">
      <c r="A376" s="9"/>
      <c r="J376" s="9"/>
    </row>
    <row r="377" spans="1:10" ht="16.5" customHeight="1">
      <c r="A377" s="9"/>
      <c r="J377" s="9"/>
    </row>
    <row r="378" spans="1:10" ht="16.5" customHeight="1">
      <c r="A378" s="9"/>
      <c r="J378" s="9"/>
    </row>
    <row r="379" spans="1:10" ht="16.5" customHeight="1">
      <c r="A379" s="9"/>
      <c r="J379" s="9"/>
    </row>
    <row r="380" spans="1:10" ht="16.5" customHeight="1">
      <c r="A380" s="9"/>
      <c r="J380" s="9"/>
    </row>
    <row r="381" spans="1:10" ht="16.5" customHeight="1">
      <c r="A381" s="9"/>
      <c r="J381" s="9"/>
    </row>
    <row r="382" spans="1:10" ht="16.5" customHeight="1">
      <c r="A382" s="9"/>
      <c r="J382" s="9"/>
    </row>
    <row r="383" spans="1:10" ht="16.5" customHeight="1">
      <c r="A383" s="9"/>
      <c r="J383" s="9"/>
    </row>
    <row r="384" spans="1:10" ht="16.5" customHeight="1">
      <c r="A384" s="9"/>
      <c r="J384" s="9"/>
    </row>
    <row r="385" spans="1:10" ht="16.5" customHeight="1">
      <c r="A385" s="9"/>
      <c r="J385" s="9"/>
    </row>
    <row r="386" spans="1:10" ht="16.5" customHeight="1">
      <c r="A386" s="9"/>
      <c r="J386" s="9"/>
    </row>
    <row r="387" spans="1:10" ht="16.5" customHeight="1">
      <c r="A387" s="9"/>
      <c r="J387" s="9"/>
    </row>
    <row r="388" spans="1:10" ht="16.5" customHeight="1">
      <c r="A388" s="9"/>
      <c r="J388" s="9"/>
    </row>
    <row r="389" spans="1:10" ht="16.5" customHeight="1">
      <c r="A389" s="9"/>
      <c r="J389" s="9"/>
    </row>
    <row r="390" spans="1:10" ht="16.5" customHeight="1">
      <c r="A390" s="9"/>
      <c r="J390" s="9"/>
    </row>
    <row r="391" spans="1:10" ht="16.5" customHeight="1">
      <c r="A391" s="9"/>
      <c r="J391" s="9"/>
    </row>
    <row r="392" spans="1:10" ht="16.5" customHeight="1">
      <c r="A392" s="9"/>
      <c r="J392" s="9"/>
    </row>
    <row r="393" spans="1:10" ht="16.5" customHeight="1">
      <c r="A393" s="9"/>
      <c r="J393" s="9"/>
    </row>
    <row r="394" spans="1:10" ht="16.5" customHeight="1">
      <c r="A394" s="9"/>
      <c r="J394" s="9"/>
    </row>
    <row r="395" spans="1:10" ht="16.5" customHeight="1">
      <c r="A395" s="9"/>
      <c r="J395" s="9"/>
    </row>
    <row r="396" spans="1:10" ht="16.5" customHeight="1">
      <c r="A396" s="9"/>
      <c r="J396" s="9"/>
    </row>
    <row r="397" spans="1:10" ht="16.5" customHeight="1">
      <c r="A397" s="9"/>
      <c r="J397" s="9"/>
    </row>
    <row r="398" spans="1:10" ht="16.5" customHeight="1">
      <c r="A398" s="9"/>
      <c r="J398" s="9"/>
    </row>
    <row r="399" spans="1:10" ht="16.5" customHeight="1">
      <c r="A399" s="9"/>
      <c r="J399" s="9"/>
    </row>
    <row r="400" spans="1:10" ht="16.5" customHeight="1">
      <c r="A400" s="9"/>
      <c r="J400" s="9"/>
    </row>
    <row r="401" spans="1:10" ht="16.5" customHeight="1">
      <c r="A401" s="9"/>
      <c r="J401" s="9"/>
    </row>
    <row r="402" spans="1:10" ht="16.5" customHeight="1">
      <c r="A402" s="9"/>
      <c r="J402" s="9"/>
    </row>
    <row r="403" spans="1:10" ht="16.5" customHeight="1">
      <c r="A403" s="9"/>
      <c r="J403" s="9"/>
    </row>
    <row r="404" spans="1:10" ht="16.5" customHeight="1">
      <c r="A404" s="9"/>
      <c r="J404" s="9"/>
    </row>
    <row r="405" spans="1:10" ht="16.5" customHeight="1">
      <c r="A405" s="9"/>
      <c r="J405" s="9"/>
    </row>
    <row r="406" spans="1:10" ht="16.5" customHeight="1">
      <c r="A406" s="9"/>
      <c r="J406" s="9"/>
    </row>
    <row r="407" spans="1:10" ht="16.5" customHeight="1">
      <c r="A407" s="9"/>
      <c r="J407" s="9"/>
    </row>
    <row r="408" spans="1:10" ht="16.5" customHeight="1">
      <c r="A408" s="9"/>
      <c r="J408" s="9"/>
    </row>
    <row r="409" spans="1:10" ht="16.5" customHeight="1">
      <c r="A409" s="9"/>
      <c r="J409" s="9"/>
    </row>
    <row r="410" spans="1:10" ht="16.5" customHeight="1">
      <c r="A410" s="9"/>
      <c r="J410" s="9"/>
    </row>
    <row r="411" spans="1:10" ht="16.5" customHeight="1">
      <c r="A411" s="9"/>
      <c r="J411" s="9"/>
    </row>
    <row r="412" spans="1:10" ht="16.5" customHeight="1">
      <c r="A412" s="9"/>
      <c r="J412" s="9"/>
    </row>
    <row r="413" spans="1:10" ht="16.5" customHeight="1">
      <c r="A413" s="9"/>
      <c r="J413" s="9"/>
    </row>
    <row r="414" spans="1:10" ht="16.5" customHeight="1">
      <c r="A414" s="9"/>
      <c r="J414" s="9"/>
    </row>
    <row r="415" spans="1:10" ht="16.5" customHeight="1">
      <c r="A415" s="9"/>
      <c r="J415" s="9"/>
    </row>
    <row r="416" spans="1:10" ht="16.5" customHeight="1">
      <c r="A416" s="9"/>
      <c r="J416" s="9"/>
    </row>
    <row r="417" spans="1:10" ht="16.5" customHeight="1">
      <c r="A417" s="9"/>
      <c r="J417" s="9"/>
    </row>
    <row r="418" spans="1:10" ht="16.5" customHeight="1">
      <c r="A418" s="9"/>
      <c r="J418" s="9"/>
    </row>
    <row r="419" spans="1:10" ht="16.5" customHeight="1">
      <c r="A419" s="9"/>
      <c r="J419" s="9"/>
    </row>
    <row r="420" spans="1:10" ht="16.5" customHeight="1">
      <c r="A420" s="9"/>
      <c r="J420" s="9"/>
    </row>
    <row r="421" spans="1:10" ht="16.5" customHeight="1">
      <c r="A421" s="9"/>
      <c r="J421" s="9"/>
    </row>
    <row r="422" spans="1:10" ht="16.5" customHeight="1">
      <c r="A422" s="9"/>
      <c r="J422" s="9"/>
    </row>
    <row r="423" spans="1:10" ht="16.5" customHeight="1">
      <c r="A423" s="9"/>
      <c r="J423" s="9"/>
    </row>
    <row r="424" spans="1:10" ht="16.5" customHeight="1">
      <c r="A424" s="9"/>
      <c r="J424" s="9"/>
    </row>
    <row r="425" spans="1:10" ht="16.5" customHeight="1">
      <c r="A425" s="9"/>
      <c r="J425" s="9"/>
    </row>
    <row r="426" spans="1:10" ht="16.5" customHeight="1">
      <c r="A426" s="9"/>
      <c r="J426" s="9"/>
    </row>
    <row r="427" spans="1:10" ht="16.5" customHeight="1">
      <c r="A427" s="9"/>
      <c r="J427" s="9"/>
    </row>
    <row r="428" spans="1:10" ht="16.5" customHeight="1">
      <c r="A428" s="9"/>
      <c r="J428" s="9"/>
    </row>
    <row r="429" spans="1:10" ht="16.5" customHeight="1">
      <c r="A429" s="9"/>
      <c r="J429" s="9"/>
    </row>
    <row r="430" spans="1:10" ht="16.5" customHeight="1">
      <c r="A430" s="9"/>
      <c r="J430" s="9"/>
    </row>
    <row r="431" spans="1:10" ht="16.5" customHeight="1">
      <c r="A431" s="9"/>
      <c r="J431" s="9"/>
    </row>
    <row r="432" spans="1:10" ht="16.5" customHeight="1">
      <c r="A432" s="9"/>
      <c r="J432" s="9"/>
    </row>
    <row r="433" spans="1:10" ht="16.5" customHeight="1">
      <c r="A433" s="9"/>
      <c r="J433" s="9"/>
    </row>
    <row r="434" spans="1:10" ht="16.5" customHeight="1">
      <c r="A434" s="9"/>
      <c r="J434" s="9"/>
    </row>
    <row r="435" spans="1:10" ht="16.5" customHeight="1">
      <c r="A435" s="9"/>
      <c r="J435" s="9"/>
    </row>
    <row r="436" spans="1:10" ht="16.5" customHeight="1">
      <c r="A436" s="9"/>
      <c r="J436" s="9"/>
    </row>
    <row r="437" spans="1:10" ht="16.5" customHeight="1">
      <c r="A437" s="9"/>
      <c r="J437" s="9"/>
    </row>
    <row r="438" spans="1:10" ht="16.5" customHeight="1">
      <c r="A438" s="9"/>
      <c r="J438" s="9"/>
    </row>
    <row r="439" spans="1:10" ht="16.5" customHeight="1">
      <c r="A439" s="9"/>
      <c r="J439" s="9"/>
    </row>
    <row r="440" spans="1:10" ht="16.5" customHeight="1">
      <c r="A440" s="9"/>
      <c r="J440" s="9"/>
    </row>
    <row r="441" spans="1:10" ht="16.5" customHeight="1">
      <c r="A441" s="9"/>
      <c r="J441" s="9"/>
    </row>
    <row r="442" spans="1:10" ht="16.5" customHeight="1">
      <c r="A442" s="9"/>
      <c r="J442" s="9"/>
    </row>
    <row r="443" spans="1:10" ht="16.5" customHeight="1">
      <c r="A443" s="9"/>
      <c r="J443" s="9"/>
    </row>
    <row r="444" spans="1:10" ht="16.5" customHeight="1">
      <c r="A444" s="9"/>
      <c r="J444" s="9"/>
    </row>
    <row r="445" spans="1:10" ht="16.5" customHeight="1">
      <c r="A445" s="9"/>
      <c r="J445" s="9"/>
    </row>
    <row r="446" spans="1:10" ht="16.5" customHeight="1">
      <c r="A446" s="9"/>
      <c r="J446" s="9"/>
    </row>
    <row r="447" spans="1:10" ht="16.5" customHeight="1">
      <c r="A447" s="9"/>
      <c r="J447" s="9"/>
    </row>
    <row r="448" spans="1:10" ht="16.5" customHeight="1">
      <c r="A448" s="9"/>
      <c r="J448" s="9"/>
    </row>
    <row r="449" spans="1:10" ht="16.5" customHeight="1">
      <c r="A449" s="9"/>
      <c r="J449" s="9"/>
    </row>
    <row r="450" spans="1:10" ht="16.5" customHeight="1">
      <c r="A450" s="9"/>
      <c r="J450" s="9"/>
    </row>
    <row r="451" spans="1:10" ht="16.5" customHeight="1">
      <c r="A451" s="9"/>
      <c r="J451" s="9"/>
    </row>
    <row r="452" spans="1:10" ht="16.5" customHeight="1">
      <c r="A452" s="9"/>
      <c r="J452" s="9"/>
    </row>
    <row r="453" spans="1:10" ht="16.5" customHeight="1">
      <c r="A453" s="9"/>
      <c r="J453" s="9"/>
    </row>
    <row r="454" spans="1:10" ht="16.5" customHeight="1">
      <c r="A454" s="9"/>
      <c r="J454" s="9"/>
    </row>
    <row r="455" spans="1:10" ht="16.5" customHeight="1">
      <c r="A455" s="9"/>
      <c r="J455" s="9"/>
    </row>
    <row r="456" spans="1:10" ht="16.5" customHeight="1">
      <c r="A456" s="9"/>
      <c r="J456" s="9"/>
    </row>
    <row r="457" spans="1:10" ht="16.5" customHeight="1">
      <c r="A457" s="9"/>
      <c r="J457" s="9"/>
    </row>
    <row r="458" spans="1:10" ht="16.5" customHeight="1">
      <c r="A458" s="9"/>
      <c r="J458" s="9"/>
    </row>
    <row r="459" spans="1:10" ht="16.5" customHeight="1">
      <c r="A459" s="9"/>
      <c r="J459" s="9"/>
    </row>
    <row r="460" spans="1:10" ht="16.5" customHeight="1">
      <c r="A460" s="9"/>
      <c r="J460" s="9"/>
    </row>
    <row r="461" spans="1:10" ht="16.5" customHeight="1">
      <c r="A461" s="9"/>
      <c r="J461" s="9"/>
    </row>
    <row r="462" spans="1:10" ht="16.5" customHeight="1">
      <c r="A462" s="9"/>
      <c r="J462" s="9"/>
    </row>
    <row r="463" spans="1:10" ht="16.5" customHeight="1">
      <c r="A463" s="9"/>
      <c r="J463" s="9"/>
    </row>
    <row r="464" spans="1:10" ht="16.5" customHeight="1">
      <c r="A464" s="9"/>
      <c r="J464" s="9"/>
    </row>
    <row r="465" spans="1:10" ht="16.5" customHeight="1">
      <c r="A465" s="9"/>
      <c r="J465" s="9"/>
    </row>
    <row r="466" spans="1:10" ht="16.5" customHeight="1">
      <c r="A466" s="9"/>
      <c r="J466" s="9"/>
    </row>
    <row r="467" spans="1:10" ht="16.5" customHeight="1">
      <c r="A467" s="9"/>
      <c r="J467" s="9"/>
    </row>
    <row r="468" spans="1:10" ht="16.5" customHeight="1">
      <c r="A468" s="9"/>
      <c r="J468" s="9"/>
    </row>
    <row r="469" spans="1:10" ht="16.5" customHeight="1">
      <c r="A469" s="9"/>
      <c r="J469" s="9"/>
    </row>
    <row r="470" spans="1:10" ht="16.5" customHeight="1">
      <c r="A470" s="9"/>
      <c r="J470" s="9"/>
    </row>
    <row r="471" spans="1:10" ht="16.5" customHeight="1">
      <c r="A471" s="9"/>
      <c r="J471" s="9"/>
    </row>
    <row r="472" spans="1:10" ht="16.5" customHeight="1">
      <c r="A472" s="9"/>
      <c r="J472" s="9"/>
    </row>
    <row r="473" spans="1:10" ht="16.5" customHeight="1">
      <c r="A473" s="9"/>
      <c r="J473" s="9"/>
    </row>
    <row r="474" spans="1:10" ht="16.5" customHeight="1">
      <c r="A474" s="9"/>
      <c r="J474" s="9"/>
    </row>
    <row r="475" spans="1:10" ht="16.5" customHeight="1">
      <c r="A475" s="9"/>
      <c r="J475" s="9"/>
    </row>
    <row r="476" spans="1:10" ht="16.5" customHeight="1">
      <c r="A476" s="9"/>
      <c r="J476" s="9"/>
    </row>
    <row r="477" spans="1:10" ht="16.5" customHeight="1">
      <c r="A477" s="9"/>
      <c r="J477" s="9"/>
    </row>
    <row r="478" spans="1:10" ht="16.5" customHeight="1">
      <c r="A478" s="9"/>
      <c r="J478" s="9"/>
    </row>
    <row r="479" spans="1:10" ht="16.5" customHeight="1">
      <c r="A479" s="9"/>
      <c r="J479" s="9"/>
    </row>
    <row r="480" spans="1:10" ht="16.5" customHeight="1">
      <c r="A480" s="9"/>
      <c r="J480" s="9"/>
    </row>
    <row r="481" spans="1:10" ht="16.5" customHeight="1">
      <c r="A481" s="9"/>
      <c r="J481" s="9"/>
    </row>
    <row r="482" spans="1:10" ht="16.5" customHeight="1">
      <c r="A482" s="9"/>
      <c r="J482" s="9"/>
    </row>
    <row r="483" spans="1:10" ht="16.5" customHeight="1">
      <c r="A483" s="9"/>
      <c r="J483" s="9"/>
    </row>
    <row r="484" spans="1:10" ht="16.5" customHeight="1">
      <c r="A484" s="9"/>
      <c r="J484" s="9"/>
    </row>
    <row r="485" spans="1:10" ht="16.5" customHeight="1">
      <c r="A485" s="9"/>
      <c r="J485" s="9"/>
    </row>
    <row r="486" spans="1:10" ht="16.5" customHeight="1">
      <c r="A486" s="9"/>
      <c r="J486" s="9"/>
    </row>
    <row r="487" spans="1:10" ht="16.5" customHeight="1">
      <c r="A487" s="9"/>
      <c r="J487" s="9"/>
    </row>
    <row r="488" spans="1:10" ht="16.5" customHeight="1">
      <c r="A488" s="9"/>
      <c r="J488" s="9"/>
    </row>
    <row r="489" spans="1:10" ht="16.5" customHeight="1">
      <c r="A489" s="9"/>
      <c r="J489" s="9"/>
    </row>
    <row r="490" spans="1:10" ht="16.5" customHeight="1">
      <c r="A490" s="9"/>
      <c r="J490" s="9"/>
    </row>
    <row r="491" spans="1:10" ht="16.5" customHeight="1">
      <c r="A491" s="9"/>
      <c r="J491" s="9"/>
    </row>
    <row r="492" spans="1:10" ht="16.5" customHeight="1">
      <c r="A492" s="9"/>
      <c r="J492" s="9"/>
    </row>
    <row r="493" spans="1:10" ht="16.5" customHeight="1">
      <c r="A493" s="9"/>
      <c r="J493" s="9"/>
    </row>
    <row r="494" spans="1:10" ht="16.5" customHeight="1">
      <c r="A494" s="9"/>
      <c r="J494" s="9"/>
    </row>
    <row r="495" spans="1:10" ht="16.5" customHeight="1">
      <c r="A495" s="9"/>
      <c r="J495" s="9"/>
    </row>
    <row r="496" spans="1:10" ht="16.5" customHeight="1">
      <c r="A496" s="9"/>
      <c r="J496" s="9"/>
    </row>
    <row r="497" spans="1:10" ht="16.5" customHeight="1">
      <c r="A497" s="9"/>
      <c r="J497" s="9"/>
    </row>
    <row r="498" spans="1:10" ht="16.5" customHeight="1">
      <c r="A498" s="9"/>
      <c r="J498" s="9"/>
    </row>
    <row r="499" spans="1:10" ht="16.5" customHeight="1">
      <c r="A499" s="9"/>
      <c r="J499" s="9"/>
    </row>
    <row r="500" spans="1:10" ht="16.5" customHeight="1">
      <c r="A500" s="9"/>
      <c r="J500" s="9"/>
    </row>
    <row r="501" spans="1:10" ht="16.5" customHeight="1">
      <c r="A501" s="9"/>
      <c r="J501" s="9"/>
    </row>
    <row r="502" spans="1:10" ht="16.5" customHeight="1">
      <c r="A502" s="9"/>
      <c r="J502" s="9"/>
    </row>
    <row r="503" spans="1:10" ht="16.5" customHeight="1">
      <c r="A503" s="9"/>
      <c r="J503" s="9"/>
    </row>
    <row r="504" spans="1:10" ht="16.5" customHeight="1">
      <c r="A504" s="9"/>
      <c r="J504" s="9"/>
    </row>
    <row r="505" spans="1:10" ht="16.5" customHeight="1">
      <c r="A505" s="9"/>
      <c r="J505" s="9"/>
    </row>
    <row r="506" spans="1:10" ht="16.5" customHeight="1">
      <c r="A506" s="9"/>
      <c r="J506" s="9"/>
    </row>
    <row r="507" spans="1:10" ht="16.5" customHeight="1">
      <c r="A507" s="9"/>
      <c r="J507" s="9"/>
    </row>
    <row r="508" spans="1:10" ht="16.5" customHeight="1">
      <c r="A508" s="9"/>
      <c r="J508" s="9"/>
    </row>
    <row r="509" spans="1:10" ht="16.5" customHeight="1">
      <c r="A509" s="9"/>
      <c r="J509" s="9"/>
    </row>
    <row r="510" spans="1:10" ht="16.5" customHeight="1">
      <c r="A510" s="9"/>
      <c r="J510" s="9"/>
    </row>
    <row r="511" spans="1:10" ht="16.5" customHeight="1">
      <c r="A511" s="9"/>
      <c r="J511" s="9"/>
    </row>
    <row r="512" spans="1:10" ht="16.5" customHeight="1">
      <c r="A512" s="9"/>
      <c r="J512" s="9"/>
    </row>
    <row r="513" spans="1:10" ht="16.5" customHeight="1">
      <c r="A513" s="9"/>
      <c r="J513" s="9"/>
    </row>
    <row r="514" spans="1:10" ht="16.5" customHeight="1">
      <c r="A514" s="9"/>
      <c r="J514" s="9"/>
    </row>
    <row r="515" spans="1:10" ht="16.5" customHeight="1">
      <c r="A515" s="9"/>
      <c r="J515" s="9"/>
    </row>
    <row r="516" spans="1:10" ht="16.5" customHeight="1">
      <c r="A516" s="9"/>
      <c r="J516" s="9"/>
    </row>
    <row r="517" spans="1:10" ht="16.5" customHeight="1">
      <c r="A517" s="9"/>
      <c r="J517" s="9"/>
    </row>
    <row r="518" spans="1:10" ht="16.5" customHeight="1">
      <c r="A518" s="9"/>
      <c r="J518" s="9"/>
    </row>
    <row r="519" spans="1:10" ht="16.5" customHeight="1">
      <c r="A519" s="9"/>
      <c r="J519" s="9"/>
    </row>
    <row r="520" spans="1:10" ht="16.5" customHeight="1">
      <c r="A520" s="9"/>
      <c r="J520" s="9"/>
    </row>
    <row r="521" spans="1:10" ht="16.5" customHeight="1">
      <c r="A521" s="9"/>
      <c r="J521" s="9"/>
    </row>
    <row r="522" spans="1:10" ht="16.5" customHeight="1">
      <c r="A522" s="9"/>
      <c r="J522" s="9"/>
    </row>
    <row r="523" spans="1:10" ht="16.5" customHeight="1">
      <c r="A523" s="9"/>
      <c r="J523" s="9"/>
    </row>
    <row r="524" spans="1:10" ht="16.5" customHeight="1">
      <c r="A524" s="9"/>
      <c r="J524" s="9"/>
    </row>
    <row r="525" spans="1:10" ht="16.5" customHeight="1">
      <c r="A525" s="9"/>
      <c r="J525" s="9"/>
    </row>
    <row r="526" spans="1:10" ht="16.5" customHeight="1">
      <c r="A526" s="9"/>
      <c r="J526" s="9"/>
    </row>
    <row r="527" spans="1:10" ht="16.5" customHeight="1">
      <c r="A527" s="9"/>
      <c r="J527" s="9"/>
    </row>
    <row r="528" spans="1:10" ht="16.5" customHeight="1">
      <c r="A528" s="9"/>
      <c r="J528" s="9"/>
    </row>
    <row r="529" spans="1:10" ht="16.5" customHeight="1">
      <c r="A529" s="9"/>
      <c r="J529" s="9"/>
    </row>
    <row r="530" spans="1:10" ht="16.5" customHeight="1">
      <c r="A530" s="9"/>
      <c r="J530" s="9"/>
    </row>
    <row r="531" spans="1:10" ht="16.5" customHeight="1">
      <c r="A531" s="9"/>
      <c r="J531" s="9"/>
    </row>
    <row r="532" spans="1:10" ht="16.5" customHeight="1">
      <c r="A532" s="9"/>
      <c r="J532" s="9"/>
    </row>
    <row r="533" spans="1:10" ht="16.5" customHeight="1">
      <c r="A533" s="9"/>
      <c r="J533" s="9"/>
    </row>
    <row r="534" spans="1:10" ht="16.5" customHeight="1">
      <c r="A534" s="9"/>
      <c r="J534" s="9"/>
    </row>
    <row r="535" spans="1:10" ht="16.5" customHeight="1">
      <c r="A535" s="9"/>
      <c r="J535" s="9"/>
    </row>
    <row r="536" spans="1:10" ht="16.5" customHeight="1">
      <c r="A536" s="9"/>
      <c r="J536" s="9"/>
    </row>
    <row r="537" spans="1:10" ht="16.5" customHeight="1">
      <c r="A537" s="9"/>
      <c r="J537" s="9"/>
    </row>
    <row r="538" spans="1:10" ht="16.5" customHeight="1">
      <c r="A538" s="9"/>
      <c r="J538" s="9"/>
    </row>
    <row r="539" spans="1:10" ht="16.5" customHeight="1">
      <c r="A539" s="9"/>
      <c r="J539" s="9"/>
    </row>
    <row r="540" spans="1:10" ht="16.5" customHeight="1">
      <c r="A540" s="9"/>
      <c r="J540" s="9"/>
    </row>
    <row r="541" spans="1:10" ht="16.5" customHeight="1">
      <c r="A541" s="9"/>
      <c r="J541" s="9"/>
    </row>
    <row r="542" spans="1:10" ht="16.5" customHeight="1">
      <c r="A542" s="9"/>
      <c r="J542" s="9"/>
    </row>
    <row r="543" spans="1:10" ht="16.5" customHeight="1">
      <c r="A543" s="9"/>
      <c r="J543" s="9"/>
    </row>
    <row r="544" spans="1:10" ht="16.5" customHeight="1">
      <c r="A544" s="9"/>
      <c r="J544" s="9"/>
    </row>
    <row r="545" spans="1:10" ht="16.5" customHeight="1">
      <c r="A545" s="9"/>
      <c r="J545" s="9"/>
    </row>
    <row r="546" spans="1:10" ht="16.5" customHeight="1">
      <c r="A546" s="9"/>
      <c r="J546" s="9"/>
    </row>
    <row r="547" spans="1:10" ht="16.5" customHeight="1">
      <c r="A547" s="9"/>
      <c r="J547" s="9"/>
    </row>
    <row r="548" spans="1:10" ht="16.5" customHeight="1">
      <c r="A548" s="9"/>
      <c r="J548" s="9"/>
    </row>
    <row r="549" spans="1:10" ht="16.5" customHeight="1">
      <c r="A549" s="9"/>
      <c r="J549" s="9"/>
    </row>
    <row r="550" spans="1:10" ht="16.5" customHeight="1">
      <c r="A550" s="9"/>
      <c r="J550" s="9"/>
    </row>
    <row r="551" spans="1:10" ht="16.5" customHeight="1">
      <c r="A551" s="9"/>
      <c r="J551" s="9"/>
    </row>
    <row r="552" spans="1:10" ht="16.5" customHeight="1">
      <c r="A552" s="9"/>
      <c r="J552" s="9"/>
    </row>
    <row r="553" spans="1:10" ht="16.5" customHeight="1">
      <c r="A553" s="9"/>
      <c r="J553" s="9"/>
    </row>
    <row r="554" spans="1:10" ht="16.5" customHeight="1">
      <c r="A554" s="9"/>
      <c r="J554" s="9"/>
    </row>
    <row r="555" spans="1:10" ht="16.5" customHeight="1">
      <c r="A555" s="9"/>
      <c r="J555" s="9"/>
    </row>
    <row r="556" spans="1:10" ht="16.5" customHeight="1">
      <c r="A556" s="9"/>
      <c r="J556" s="9"/>
    </row>
    <row r="557" spans="1:10" ht="16.5" customHeight="1">
      <c r="A557" s="9"/>
      <c r="J557" s="9"/>
    </row>
    <row r="558" spans="1:10" ht="16.5" customHeight="1">
      <c r="A558" s="9"/>
      <c r="J558" s="9"/>
    </row>
    <row r="559" spans="1:10" ht="16.5" customHeight="1">
      <c r="A559" s="9"/>
      <c r="J559" s="9"/>
    </row>
    <row r="560" spans="1:10" ht="16.5" customHeight="1">
      <c r="A560" s="9"/>
      <c r="J560" s="9"/>
    </row>
    <row r="561" spans="1:10" ht="16.5" customHeight="1">
      <c r="A561" s="9"/>
      <c r="J561" s="9"/>
    </row>
    <row r="562" spans="1:10" ht="16.5" customHeight="1">
      <c r="A562" s="9"/>
      <c r="J562" s="9"/>
    </row>
    <row r="563" spans="1:10" ht="16.5" customHeight="1">
      <c r="A563" s="9"/>
      <c r="J563" s="9"/>
    </row>
    <row r="564" spans="1:10" ht="16.5" customHeight="1">
      <c r="A564" s="9"/>
      <c r="J564" s="9"/>
    </row>
    <row r="565" spans="1:10" ht="16.5" customHeight="1">
      <c r="A565" s="9"/>
      <c r="J565" s="9"/>
    </row>
    <row r="566" spans="1:10" ht="16.5" customHeight="1">
      <c r="A566" s="9"/>
      <c r="J566" s="9"/>
    </row>
    <row r="567" spans="1:10" ht="16.5" customHeight="1">
      <c r="A567" s="9"/>
      <c r="J567" s="9"/>
    </row>
    <row r="568" spans="1:10" ht="16.5" customHeight="1">
      <c r="A568" s="9"/>
      <c r="J568" s="9"/>
    </row>
    <row r="569" spans="1:10" ht="16.5" customHeight="1">
      <c r="A569" s="9"/>
      <c r="J569" s="9"/>
    </row>
    <row r="570" spans="1:10" ht="16.5" customHeight="1">
      <c r="A570" s="9"/>
      <c r="J570" s="9"/>
    </row>
    <row r="571" spans="1:10" ht="16.5" customHeight="1">
      <c r="A571" s="9"/>
      <c r="J571" s="9"/>
    </row>
    <row r="572" spans="1:10" ht="16.5" customHeight="1">
      <c r="A572" s="9"/>
      <c r="J572" s="9"/>
    </row>
    <row r="573" spans="1:10" ht="16.5" customHeight="1">
      <c r="A573" s="9"/>
      <c r="J573" s="9"/>
    </row>
    <row r="574" spans="1:10" ht="16.5" customHeight="1">
      <c r="A574" s="9"/>
      <c r="J574" s="9"/>
    </row>
    <row r="575" spans="1:10" ht="16.5" customHeight="1">
      <c r="A575" s="9"/>
      <c r="J575" s="9"/>
    </row>
    <row r="576" spans="1:10" ht="16.5" customHeight="1">
      <c r="A576" s="9"/>
      <c r="J576" s="9"/>
    </row>
    <row r="577" spans="1:10" ht="16.5" customHeight="1">
      <c r="A577" s="9"/>
      <c r="J577" s="9"/>
    </row>
    <row r="578" spans="1:10" ht="16.5" customHeight="1">
      <c r="A578" s="9"/>
      <c r="J578" s="9"/>
    </row>
    <row r="579" spans="1:10" ht="16.5" customHeight="1">
      <c r="A579" s="9"/>
      <c r="J579" s="9"/>
    </row>
    <row r="580" spans="1:10" ht="16.5" customHeight="1">
      <c r="A580" s="9"/>
      <c r="J580" s="9"/>
    </row>
    <row r="581" spans="1:10" ht="16.5" customHeight="1">
      <c r="A581" s="9"/>
      <c r="J581" s="9"/>
    </row>
    <row r="582" spans="1:10" ht="16.5" customHeight="1">
      <c r="A582" s="9"/>
      <c r="J582" s="9"/>
    </row>
    <row r="583" spans="1:10" ht="16.5" customHeight="1">
      <c r="A583" s="9"/>
      <c r="J583" s="9"/>
    </row>
    <row r="584" spans="1:10" ht="16.5" customHeight="1">
      <c r="A584" s="9"/>
      <c r="J584" s="9"/>
    </row>
    <row r="585" spans="1:10" ht="16.5" customHeight="1">
      <c r="A585" s="9"/>
      <c r="J585" s="9"/>
    </row>
    <row r="586" spans="1:10" ht="16.5" customHeight="1">
      <c r="A586" s="9"/>
      <c r="J586" s="9"/>
    </row>
    <row r="587" spans="1:10" ht="16.5" customHeight="1">
      <c r="A587" s="9"/>
      <c r="J587" s="9"/>
    </row>
    <row r="588" spans="1:10" ht="16.5" customHeight="1">
      <c r="A588" s="9"/>
      <c r="J588" s="9"/>
    </row>
    <row r="589" spans="1:10" ht="16.5" customHeight="1">
      <c r="A589" s="9"/>
      <c r="J589" s="9"/>
    </row>
    <row r="590" spans="1:10" ht="16.5" customHeight="1">
      <c r="A590" s="9"/>
      <c r="J590" s="9"/>
    </row>
    <row r="591" spans="1:10" ht="16.5" customHeight="1">
      <c r="A591" s="9"/>
      <c r="J591" s="9"/>
    </row>
    <row r="592" spans="1:10" ht="16.5" customHeight="1">
      <c r="A592" s="9"/>
      <c r="J592" s="9"/>
    </row>
    <row r="593" spans="1:10" ht="16.5" customHeight="1">
      <c r="A593" s="9"/>
      <c r="J593" s="9"/>
    </row>
    <row r="594" spans="1:10" ht="16.5" customHeight="1">
      <c r="A594" s="9"/>
      <c r="J594" s="9"/>
    </row>
    <row r="595" spans="1:10" ht="16.5" customHeight="1">
      <c r="A595" s="9"/>
      <c r="J595" s="9"/>
    </row>
    <row r="596" spans="1:10" ht="16.5" customHeight="1">
      <c r="A596" s="9"/>
      <c r="J596" s="9"/>
    </row>
    <row r="597" spans="1:10" ht="16.5" customHeight="1">
      <c r="A597" s="9"/>
      <c r="J597" s="9"/>
    </row>
    <row r="598" spans="1:10" ht="16.5" customHeight="1">
      <c r="A598" s="9"/>
      <c r="J598" s="9"/>
    </row>
    <row r="599" spans="1:10" ht="16.5" customHeight="1">
      <c r="A599" s="9"/>
      <c r="J599" s="9"/>
    </row>
    <row r="600" spans="1:10" ht="16.5" customHeight="1">
      <c r="A600" s="9"/>
      <c r="J600" s="9"/>
    </row>
    <row r="601" spans="1:10" ht="16.5" customHeight="1">
      <c r="A601" s="9"/>
      <c r="J601" s="9"/>
    </row>
    <row r="602" spans="1:10" ht="16.5" customHeight="1">
      <c r="A602" s="9"/>
      <c r="J602" s="9"/>
    </row>
    <row r="603" spans="1:10" ht="16.5" customHeight="1">
      <c r="A603" s="9"/>
      <c r="J603" s="9"/>
    </row>
    <row r="604" spans="1:10" ht="16.5" customHeight="1">
      <c r="A604" s="9"/>
      <c r="J604" s="9"/>
    </row>
    <row r="605" spans="1:10" ht="16.5" customHeight="1">
      <c r="A605" s="9"/>
      <c r="J605" s="9"/>
    </row>
    <row r="606" spans="1:10" ht="16.5" customHeight="1">
      <c r="A606" s="9"/>
      <c r="J606" s="9"/>
    </row>
    <row r="607" spans="1:10" ht="16.5" customHeight="1">
      <c r="A607" s="9"/>
      <c r="J607" s="9"/>
    </row>
    <row r="608" spans="1:10" ht="16.5" customHeight="1">
      <c r="A608" s="9"/>
      <c r="J608" s="9"/>
    </row>
    <row r="609" spans="1:10" ht="16.5" customHeight="1">
      <c r="A609" s="9"/>
      <c r="J609" s="9"/>
    </row>
    <row r="610" spans="1:10" ht="16.5" customHeight="1">
      <c r="A610" s="9"/>
      <c r="J610" s="9"/>
    </row>
    <row r="611" spans="1:10" ht="16.5" customHeight="1">
      <c r="A611" s="9"/>
      <c r="J611" s="9"/>
    </row>
    <row r="612" spans="1:10" ht="16.5" customHeight="1">
      <c r="A612" s="9"/>
      <c r="J612" s="9"/>
    </row>
    <row r="613" spans="1:10" ht="16.5" customHeight="1">
      <c r="A613" s="9"/>
      <c r="J613" s="9"/>
    </row>
    <row r="614" spans="1:10" ht="16.5" customHeight="1">
      <c r="A614" s="9"/>
      <c r="J614" s="9"/>
    </row>
    <row r="615" spans="1:10" ht="16.5" customHeight="1">
      <c r="A615" s="9"/>
      <c r="J615" s="9"/>
    </row>
    <row r="616" spans="1:10" ht="16.5" customHeight="1">
      <c r="A616" s="9"/>
      <c r="J616" s="9"/>
    </row>
    <row r="617" spans="1:10" ht="16.5" customHeight="1">
      <c r="A617" s="9"/>
      <c r="J617" s="9"/>
    </row>
    <row r="618" spans="1:10" ht="16.5" customHeight="1">
      <c r="A618" s="9"/>
      <c r="J618" s="9"/>
    </row>
    <row r="619" spans="1:10" ht="16.5" customHeight="1">
      <c r="A619" s="9"/>
      <c r="J619" s="9"/>
    </row>
    <row r="620" spans="1:10" ht="16.5" customHeight="1">
      <c r="A620" s="9"/>
      <c r="J620" s="9"/>
    </row>
    <row r="621" spans="1:10" ht="16.5" customHeight="1">
      <c r="A621" s="9"/>
      <c r="J621" s="9"/>
    </row>
    <row r="622" spans="1:10" ht="16.5" customHeight="1">
      <c r="A622" s="9"/>
      <c r="J622" s="9"/>
    </row>
    <row r="623" spans="1:10" ht="16.5" customHeight="1">
      <c r="A623" s="9"/>
      <c r="J623" s="9"/>
    </row>
    <row r="624" spans="1:10" ht="16.5" customHeight="1">
      <c r="A624" s="9"/>
      <c r="J624" s="9"/>
    </row>
    <row r="625" spans="1:10" ht="16.5" customHeight="1">
      <c r="A625" s="9"/>
      <c r="J625" s="9"/>
    </row>
    <row r="626" spans="1:10" ht="16.5" customHeight="1">
      <c r="A626" s="9"/>
      <c r="J626" s="9"/>
    </row>
    <row r="627" spans="1:10" ht="16.5" customHeight="1">
      <c r="A627" s="9"/>
      <c r="J627" s="9"/>
    </row>
    <row r="628" spans="1:10" ht="16.5" customHeight="1">
      <c r="A628" s="9"/>
      <c r="J628" s="9"/>
    </row>
    <row r="629" spans="1:10" ht="16.5" customHeight="1">
      <c r="A629" s="9"/>
      <c r="J629" s="9"/>
    </row>
    <row r="630" spans="1:10" ht="16.5" customHeight="1">
      <c r="A630" s="9"/>
      <c r="J630" s="9"/>
    </row>
    <row r="631" spans="1:10" ht="16.5" customHeight="1">
      <c r="A631" s="9"/>
      <c r="J631" s="9"/>
    </row>
    <row r="632" spans="1:10" ht="16.5" customHeight="1">
      <c r="A632" s="9"/>
      <c r="J632" s="9"/>
    </row>
    <row r="633" spans="1:10" ht="16.5" customHeight="1">
      <c r="A633" s="9"/>
      <c r="J633" s="9"/>
    </row>
    <row r="634" spans="1:10" ht="16.5" customHeight="1">
      <c r="A634" s="9"/>
      <c r="J634" s="9"/>
    </row>
    <row r="635" spans="1:10" ht="16.5" customHeight="1">
      <c r="A635" s="9"/>
      <c r="J635" s="9"/>
    </row>
    <row r="636" spans="1:10" ht="16.5" customHeight="1">
      <c r="A636" s="9"/>
      <c r="J636" s="9"/>
    </row>
    <row r="637" spans="1:10" ht="16.5" customHeight="1">
      <c r="A637" s="9"/>
      <c r="J637" s="9"/>
    </row>
    <row r="638" spans="1:10" ht="16.5" customHeight="1">
      <c r="A638" s="9"/>
      <c r="J638" s="9"/>
    </row>
    <row r="639" spans="1:10" ht="16.5" customHeight="1">
      <c r="A639" s="9"/>
      <c r="J639" s="9"/>
    </row>
    <row r="640" spans="1:10" ht="16.5" customHeight="1">
      <c r="A640" s="9"/>
      <c r="J640" s="9"/>
    </row>
    <row r="641" spans="1:10" ht="16.5" customHeight="1">
      <c r="A641" s="9"/>
      <c r="J641" s="9"/>
    </row>
    <row r="642" spans="1:10" ht="16.5" customHeight="1">
      <c r="A642" s="9"/>
      <c r="J642" s="9"/>
    </row>
    <row r="643" spans="1:10" ht="16.5" customHeight="1">
      <c r="A643" s="9"/>
      <c r="J643" s="9"/>
    </row>
    <row r="644" spans="1:10" ht="16.5" customHeight="1">
      <c r="A644" s="9"/>
      <c r="J644" s="9"/>
    </row>
    <row r="645" spans="1:10" ht="16.5" customHeight="1">
      <c r="A645" s="9"/>
      <c r="J645" s="9"/>
    </row>
    <row r="646" spans="1:10" ht="16.5" customHeight="1">
      <c r="A646" s="9"/>
      <c r="J646" s="9"/>
    </row>
    <row r="647" spans="1:10" ht="16.5" customHeight="1">
      <c r="A647" s="9"/>
      <c r="J647" s="9"/>
    </row>
    <row r="648" spans="1:10" ht="16.5" customHeight="1">
      <c r="A648" s="9"/>
      <c r="J648" s="9"/>
    </row>
    <row r="649" spans="1:10" ht="16.5" customHeight="1">
      <c r="A649" s="9"/>
      <c r="J649" s="9"/>
    </row>
    <row r="650" spans="1:10" ht="16.5" customHeight="1">
      <c r="A650" s="9"/>
      <c r="J650" s="9"/>
    </row>
    <row r="651" spans="1:10" ht="16.5" customHeight="1">
      <c r="A651" s="9"/>
      <c r="J651" s="9"/>
    </row>
    <row r="652" spans="1:10" ht="16.5" customHeight="1">
      <c r="A652" s="9"/>
      <c r="J652" s="9"/>
    </row>
    <row r="653" spans="1:10" ht="16.5" customHeight="1">
      <c r="A653" s="9"/>
      <c r="J653" s="9"/>
    </row>
    <row r="654" spans="1:10" ht="16.5" customHeight="1">
      <c r="A654" s="9"/>
      <c r="J654" s="9"/>
    </row>
    <row r="655" spans="1:10" ht="16.5" customHeight="1">
      <c r="A655" s="9"/>
      <c r="J655" s="9"/>
    </row>
    <row r="656" spans="1:10" ht="16.5" customHeight="1">
      <c r="A656" s="9"/>
      <c r="J656" s="9"/>
    </row>
    <row r="657" spans="1:10" ht="16.5" customHeight="1">
      <c r="A657" s="9"/>
      <c r="J657" s="9"/>
    </row>
    <row r="658" spans="1:10" ht="16.5" customHeight="1">
      <c r="A658" s="9"/>
      <c r="J658" s="9"/>
    </row>
    <row r="659" spans="1:10" ht="16.5" customHeight="1">
      <c r="A659" s="9"/>
      <c r="J659" s="9"/>
    </row>
    <row r="660" spans="1:10" ht="16.5" customHeight="1">
      <c r="A660" s="9"/>
      <c r="J660" s="9"/>
    </row>
    <row r="661" spans="1:10" ht="16.5" customHeight="1">
      <c r="A661" s="9"/>
      <c r="J661" s="9"/>
    </row>
    <row r="662" spans="1:10" ht="16.5" customHeight="1">
      <c r="A662" s="9"/>
      <c r="J662" s="9"/>
    </row>
    <row r="663" spans="1:10" ht="16.5" customHeight="1">
      <c r="A663" s="9"/>
      <c r="J663" s="9"/>
    </row>
    <row r="664" spans="1:10" ht="16.5" customHeight="1">
      <c r="A664" s="9"/>
      <c r="J664" s="9"/>
    </row>
    <row r="665" spans="1:10" ht="16.5" customHeight="1">
      <c r="A665" s="9"/>
      <c r="J665" s="9"/>
    </row>
    <row r="666" spans="1:10" ht="16.5" customHeight="1">
      <c r="A666" s="9"/>
      <c r="J666" s="9"/>
    </row>
    <row r="667" spans="1:10" ht="16.5" customHeight="1">
      <c r="A667" s="9"/>
      <c r="J667" s="9"/>
    </row>
    <row r="668" spans="1:10" ht="16.5" customHeight="1">
      <c r="A668" s="9"/>
      <c r="J668" s="9"/>
    </row>
    <row r="669" spans="1:10" ht="16.5" customHeight="1">
      <c r="A669" s="9"/>
      <c r="J669" s="9"/>
    </row>
    <row r="670" spans="1:10" ht="16.5" customHeight="1">
      <c r="A670" s="9"/>
      <c r="J670" s="9"/>
    </row>
    <row r="671" spans="1:10" ht="16.5" customHeight="1">
      <c r="A671" s="9"/>
      <c r="J671" s="9"/>
    </row>
    <row r="672" spans="1:10" ht="16.5" customHeight="1">
      <c r="A672" s="9"/>
      <c r="J672" s="9"/>
    </row>
    <row r="673" spans="1:10" ht="16.5" customHeight="1">
      <c r="A673" s="9"/>
      <c r="J673" s="9"/>
    </row>
    <row r="674" spans="1:10" ht="16.5" customHeight="1">
      <c r="A674" s="9"/>
      <c r="J674" s="9"/>
    </row>
    <row r="675" spans="1:10" ht="16.5" customHeight="1">
      <c r="A675" s="9"/>
      <c r="J675" s="9"/>
    </row>
    <row r="676" spans="1:10" ht="16.5" customHeight="1">
      <c r="A676" s="9"/>
      <c r="J676" s="9"/>
    </row>
    <row r="677" spans="1:10" ht="16.5" customHeight="1">
      <c r="A677" s="9"/>
      <c r="J677" s="9"/>
    </row>
    <row r="678" spans="1:10" ht="16.5" customHeight="1">
      <c r="A678" s="9"/>
      <c r="J678" s="9"/>
    </row>
    <row r="679" spans="1:10" ht="16.5" customHeight="1">
      <c r="A679" s="9"/>
      <c r="J679" s="9"/>
    </row>
    <row r="680" spans="1:10" ht="16.5" customHeight="1">
      <c r="A680" s="9"/>
      <c r="J680" s="9"/>
    </row>
    <row r="681" spans="1:10" ht="16.5" customHeight="1">
      <c r="A681" s="9"/>
      <c r="J681" s="9"/>
    </row>
    <row r="682" spans="1:10" ht="16.5" customHeight="1">
      <c r="A682" s="9"/>
      <c r="J682" s="9"/>
    </row>
    <row r="683" spans="1:10" ht="16.5" customHeight="1">
      <c r="A683" s="9"/>
      <c r="J683" s="9"/>
    </row>
    <row r="684" spans="1:10" ht="16.5" customHeight="1">
      <c r="A684" s="9"/>
      <c r="J684" s="9"/>
    </row>
    <row r="685" spans="1:10" ht="16.5" customHeight="1">
      <c r="A685" s="9"/>
      <c r="J685" s="9"/>
    </row>
    <row r="686" spans="1:10" ht="16.5" customHeight="1">
      <c r="A686" s="9"/>
      <c r="J686" s="9"/>
    </row>
    <row r="687" spans="1:10" ht="16.5" customHeight="1">
      <c r="A687" s="9"/>
      <c r="J687" s="9"/>
    </row>
    <row r="688" spans="1:10" ht="16.5" customHeight="1">
      <c r="A688" s="9"/>
      <c r="J688" s="9"/>
    </row>
    <row r="689" spans="1:10" ht="16.5" customHeight="1">
      <c r="A689" s="9"/>
      <c r="J689" s="9"/>
    </row>
    <row r="690" spans="1:10" ht="16.5" customHeight="1">
      <c r="A690" s="9"/>
      <c r="J690" s="9"/>
    </row>
    <row r="691" spans="1:10" ht="16.5" customHeight="1">
      <c r="A691" s="9"/>
      <c r="J691" s="9"/>
    </row>
    <row r="692" spans="1:10" ht="16.5" customHeight="1">
      <c r="A692" s="9"/>
      <c r="J692" s="9"/>
    </row>
    <row r="693" spans="1:10" ht="16.5" customHeight="1">
      <c r="A693" s="9"/>
      <c r="J693" s="9"/>
    </row>
    <row r="694" spans="1:10" ht="16.5" customHeight="1">
      <c r="A694" s="9"/>
      <c r="J694" s="9"/>
    </row>
    <row r="695" spans="1:10" ht="16.5" customHeight="1">
      <c r="A695" s="9"/>
      <c r="J695" s="9"/>
    </row>
    <row r="696" spans="1:10" ht="16.5" customHeight="1">
      <c r="A696" s="9"/>
      <c r="J696" s="9"/>
    </row>
    <row r="697" spans="1:10" ht="16.5" customHeight="1">
      <c r="A697" s="9"/>
      <c r="J697" s="9"/>
    </row>
    <row r="698" spans="1:10" ht="16.5" customHeight="1">
      <c r="A698" s="9"/>
      <c r="J698" s="9"/>
    </row>
    <row r="699" spans="1:10" ht="16.5" customHeight="1">
      <c r="A699" s="9"/>
      <c r="J699" s="9"/>
    </row>
    <row r="700" spans="1:10" ht="16.5" customHeight="1">
      <c r="A700" s="9"/>
      <c r="J700" s="9"/>
    </row>
    <row r="701" spans="1:10" ht="16.5" customHeight="1">
      <c r="A701" s="9"/>
      <c r="J701" s="9"/>
    </row>
    <row r="702" spans="1:10" ht="16.5" customHeight="1">
      <c r="A702" s="9"/>
      <c r="J702" s="9"/>
    </row>
    <row r="703" spans="1:10" ht="16.5" customHeight="1">
      <c r="A703" s="9"/>
      <c r="J703" s="9"/>
    </row>
    <row r="704" spans="1:10" ht="16.5" customHeight="1">
      <c r="A704" s="9"/>
      <c r="J704" s="9"/>
    </row>
    <row r="705" spans="1:10" ht="16.5" customHeight="1">
      <c r="A705" s="9"/>
      <c r="J705" s="9"/>
    </row>
    <row r="706" spans="1:10" ht="16.5" customHeight="1">
      <c r="A706" s="9"/>
      <c r="J706" s="9"/>
    </row>
    <row r="707" spans="1:10" ht="16.5" customHeight="1">
      <c r="A707" s="9"/>
      <c r="J707" s="9"/>
    </row>
    <row r="708" spans="1:10" ht="16.5" customHeight="1">
      <c r="A708" s="9"/>
      <c r="J708" s="9"/>
    </row>
    <row r="709" spans="1:10" ht="16.5" customHeight="1">
      <c r="A709" s="9"/>
      <c r="J709" s="9"/>
    </row>
    <row r="710" spans="1:10" ht="16.5" customHeight="1">
      <c r="A710" s="9"/>
      <c r="J710" s="9"/>
    </row>
    <row r="711" spans="1:10" ht="16.5" customHeight="1">
      <c r="A711" s="9"/>
      <c r="J711" s="9"/>
    </row>
    <row r="712" spans="1:10" ht="16.5" customHeight="1">
      <c r="A712" s="9"/>
      <c r="J712" s="9"/>
    </row>
    <row r="713" spans="1:10" ht="16.5" customHeight="1">
      <c r="A713" s="9"/>
      <c r="J713" s="9"/>
    </row>
    <row r="714" spans="1:10" ht="16.5" customHeight="1">
      <c r="A714" s="9"/>
      <c r="J714" s="9"/>
    </row>
    <row r="715" spans="1:10" ht="16.5" customHeight="1">
      <c r="A715" s="9"/>
      <c r="J715" s="9"/>
    </row>
    <row r="716" spans="1:10" ht="16.5" customHeight="1">
      <c r="A716" s="9"/>
      <c r="J716" s="9"/>
    </row>
    <row r="717" spans="1:10" ht="16.5" customHeight="1">
      <c r="A717" s="9"/>
      <c r="J717" s="9"/>
    </row>
    <row r="718" spans="1:10" ht="16.5" customHeight="1">
      <c r="A718" s="9"/>
      <c r="J718" s="9"/>
    </row>
    <row r="719" spans="1:10" ht="16.5" customHeight="1">
      <c r="A719" s="9"/>
      <c r="J719" s="9"/>
    </row>
    <row r="720" spans="1:10" ht="16.5" customHeight="1">
      <c r="A720" s="9"/>
      <c r="J720" s="9"/>
    </row>
    <row r="721" spans="1:10" ht="16.5" customHeight="1">
      <c r="A721" s="9"/>
      <c r="J721" s="9"/>
    </row>
    <row r="722" spans="1:10" ht="16.5" customHeight="1">
      <c r="A722" s="9"/>
      <c r="J722" s="9"/>
    </row>
    <row r="723" spans="1:10" ht="16.5" customHeight="1">
      <c r="A723" s="9"/>
      <c r="J723" s="9"/>
    </row>
    <row r="724" spans="1:10" ht="16.5" customHeight="1">
      <c r="A724" s="9"/>
      <c r="J724" s="9"/>
    </row>
    <row r="725" spans="1:10" ht="16.5" customHeight="1">
      <c r="A725" s="9"/>
      <c r="J725" s="9"/>
    </row>
    <row r="726" spans="1:10" ht="16.5" customHeight="1">
      <c r="A726" s="9"/>
      <c r="J726" s="9"/>
    </row>
    <row r="727" spans="1:10" ht="16.5" customHeight="1">
      <c r="A727" s="9"/>
      <c r="J727" s="9"/>
    </row>
    <row r="728" spans="1:10" ht="16.5" customHeight="1">
      <c r="A728" s="9"/>
      <c r="J728" s="9"/>
    </row>
    <row r="729" spans="1:10" ht="16.5" customHeight="1">
      <c r="A729" s="9"/>
      <c r="J729" s="9"/>
    </row>
    <row r="730" spans="1:10" ht="16.5" customHeight="1">
      <c r="A730" s="9"/>
      <c r="J730" s="9"/>
    </row>
    <row r="731" spans="1:10" ht="16.5" customHeight="1">
      <c r="A731" s="9"/>
      <c r="J731" s="9"/>
    </row>
    <row r="732" spans="1:10" ht="16.5" customHeight="1">
      <c r="A732" s="9"/>
      <c r="J732" s="9"/>
    </row>
    <row r="733" spans="1:10" ht="16.5" customHeight="1">
      <c r="A733" s="9"/>
      <c r="J733" s="9"/>
    </row>
    <row r="734" spans="1:10" ht="16.5" customHeight="1">
      <c r="A734" s="9"/>
      <c r="J734" s="9"/>
    </row>
    <row r="735" spans="1:10" ht="16.5" customHeight="1">
      <c r="A735" s="9"/>
      <c r="J735" s="9"/>
    </row>
    <row r="736" spans="1:10" ht="16.5" customHeight="1">
      <c r="A736" s="9"/>
      <c r="J736" s="9"/>
    </row>
    <row r="737" spans="1:10" ht="16.5" customHeight="1">
      <c r="A737" s="9"/>
      <c r="J737" s="9"/>
    </row>
    <row r="738" spans="1:10" ht="16.5" customHeight="1">
      <c r="A738" s="9"/>
      <c r="J738" s="9"/>
    </row>
    <row r="739" spans="1:10" ht="16.5" customHeight="1">
      <c r="A739" s="9"/>
      <c r="J739" s="9"/>
    </row>
    <row r="740" spans="1:10" ht="16.5" customHeight="1">
      <c r="A740" s="9"/>
      <c r="J740" s="9"/>
    </row>
    <row r="741" spans="1:10" ht="16.5" customHeight="1">
      <c r="A741" s="9"/>
      <c r="J741" s="9"/>
    </row>
    <row r="742" spans="1:10" ht="16.5" customHeight="1">
      <c r="A742" s="9"/>
      <c r="J742" s="9"/>
    </row>
    <row r="743" spans="1:10" ht="16.5" customHeight="1">
      <c r="A743" s="9"/>
      <c r="J743" s="9"/>
    </row>
    <row r="744" spans="1:10" ht="16.5" customHeight="1">
      <c r="A744" s="9"/>
      <c r="J744" s="9"/>
    </row>
    <row r="745" spans="1:10" ht="16.5" customHeight="1">
      <c r="A745" s="9"/>
      <c r="J745" s="9"/>
    </row>
    <row r="746" spans="1:10" ht="16.5" customHeight="1">
      <c r="A746" s="9"/>
      <c r="J746" s="9"/>
    </row>
    <row r="747" spans="1:10" ht="16.5" customHeight="1">
      <c r="A747" s="9"/>
      <c r="J747" s="9"/>
    </row>
    <row r="748" spans="1:10" ht="16.5" customHeight="1">
      <c r="A748" s="9"/>
      <c r="J748" s="9"/>
    </row>
    <row r="749" spans="1:10" ht="16.5" customHeight="1">
      <c r="A749" s="9"/>
      <c r="J749" s="9"/>
    </row>
    <row r="750" spans="1:10" ht="16.5" customHeight="1">
      <c r="A750" s="9"/>
      <c r="J750" s="9"/>
    </row>
    <row r="751" spans="1:10" ht="16.5" customHeight="1">
      <c r="A751" s="9"/>
      <c r="J751" s="9"/>
    </row>
    <row r="752" spans="1:10" ht="16.5" customHeight="1">
      <c r="A752" s="9"/>
      <c r="J752" s="9"/>
    </row>
    <row r="753" spans="1:10" ht="16.5" customHeight="1">
      <c r="A753" s="9"/>
      <c r="J753" s="9"/>
    </row>
    <row r="754" spans="1:10" ht="16.5" customHeight="1">
      <c r="A754" s="9"/>
      <c r="J754" s="9"/>
    </row>
    <row r="755" spans="1:10" ht="16.5" customHeight="1">
      <c r="A755" s="9"/>
      <c r="J755" s="9"/>
    </row>
    <row r="756" spans="1:10" ht="16.5" customHeight="1">
      <c r="A756" s="9"/>
      <c r="J756" s="9"/>
    </row>
    <row r="757" spans="1:10" ht="16.5" customHeight="1">
      <c r="A757" s="9"/>
      <c r="J757" s="9"/>
    </row>
    <row r="758" spans="1:10" ht="16.5" customHeight="1">
      <c r="A758" s="9"/>
      <c r="J758" s="9"/>
    </row>
    <row r="759" spans="1:10" ht="16.5" customHeight="1">
      <c r="A759" s="9"/>
      <c r="J759" s="9"/>
    </row>
    <row r="760" spans="1:10" ht="16.5" customHeight="1">
      <c r="A760" s="9"/>
      <c r="J760" s="9"/>
    </row>
    <row r="761" spans="1:10" ht="16.5" customHeight="1">
      <c r="A761" s="9"/>
      <c r="J761" s="9"/>
    </row>
    <row r="762" spans="1:10" ht="16.5" customHeight="1">
      <c r="A762" s="9"/>
      <c r="J762" s="9"/>
    </row>
    <row r="763" spans="1:10" ht="16.5" customHeight="1">
      <c r="A763" s="9"/>
      <c r="J763" s="9"/>
    </row>
    <row r="764" spans="1:10" ht="16.5" customHeight="1">
      <c r="A764" s="9"/>
      <c r="J764" s="9"/>
    </row>
    <row r="765" spans="1:10" ht="16.5" customHeight="1">
      <c r="A765" s="9"/>
      <c r="J765" s="9"/>
    </row>
    <row r="766" spans="1:10" ht="16.5" customHeight="1">
      <c r="A766" s="9"/>
      <c r="J766" s="9"/>
    </row>
    <row r="767" spans="1:10" ht="16.5" customHeight="1">
      <c r="A767" s="9"/>
      <c r="J767" s="9"/>
    </row>
    <row r="768" spans="1:10" ht="16.5" customHeight="1">
      <c r="A768" s="9"/>
      <c r="J768" s="9"/>
    </row>
    <row r="769" spans="1:10" ht="16.5" customHeight="1">
      <c r="A769" s="9"/>
      <c r="J769" s="9"/>
    </row>
    <row r="770" spans="1:10" ht="16.5" customHeight="1">
      <c r="A770" s="9"/>
      <c r="J770" s="9"/>
    </row>
    <row r="771" spans="1:10" ht="16.5" customHeight="1">
      <c r="A771" s="9"/>
      <c r="J771" s="9"/>
    </row>
    <row r="772" spans="1:10" ht="16.5" customHeight="1">
      <c r="A772" s="9"/>
      <c r="J772" s="9"/>
    </row>
    <row r="773" spans="1:10" ht="16.5" customHeight="1">
      <c r="A773" s="9"/>
      <c r="J773" s="9"/>
    </row>
    <row r="774" spans="1:10" ht="16.5" customHeight="1">
      <c r="A774" s="9"/>
      <c r="J774" s="9"/>
    </row>
    <row r="775" spans="1:10" ht="16.5" customHeight="1">
      <c r="A775" s="9"/>
      <c r="J775" s="9"/>
    </row>
    <row r="776" spans="1:10" ht="16.5" customHeight="1">
      <c r="A776" s="9"/>
      <c r="J776" s="9"/>
    </row>
    <row r="777" spans="1:10" ht="16.5" customHeight="1">
      <c r="A777" s="9"/>
      <c r="J777" s="9"/>
    </row>
    <row r="778" spans="1:10" ht="16.5" customHeight="1">
      <c r="A778" s="9"/>
      <c r="J778" s="9"/>
    </row>
    <row r="779" spans="1:10" ht="16.5" customHeight="1">
      <c r="A779" s="9"/>
      <c r="J779" s="9"/>
    </row>
    <row r="780" spans="1:10" ht="16.5" customHeight="1">
      <c r="A780" s="9"/>
      <c r="J780" s="9"/>
    </row>
    <row r="781" spans="1:10" ht="16.5" customHeight="1">
      <c r="A781" s="9"/>
      <c r="J781" s="9"/>
    </row>
    <row r="782" spans="1:10" ht="16.5" customHeight="1">
      <c r="A782" s="9"/>
      <c r="J782" s="9"/>
    </row>
    <row r="783" spans="1:10" ht="16.5" customHeight="1">
      <c r="A783" s="9"/>
      <c r="J783" s="9"/>
    </row>
    <row r="784" spans="1:10" ht="16.5" customHeight="1">
      <c r="A784" s="9"/>
      <c r="J784" s="9"/>
    </row>
    <row r="785" spans="1:10" ht="16.5" customHeight="1">
      <c r="A785" s="9"/>
      <c r="J785" s="9"/>
    </row>
    <row r="786" spans="1:10" ht="16.5" customHeight="1">
      <c r="A786" s="9"/>
      <c r="J786" s="9"/>
    </row>
    <row r="787" spans="1:10" ht="16.5" customHeight="1">
      <c r="A787" s="9"/>
      <c r="J787" s="9"/>
    </row>
    <row r="788" spans="1:10" ht="16.5" customHeight="1">
      <c r="A788" s="9"/>
      <c r="J788" s="9"/>
    </row>
    <row r="789" spans="1:10" ht="16.5" customHeight="1">
      <c r="A789" s="9"/>
      <c r="J789" s="9"/>
    </row>
    <row r="790" spans="1:10" ht="16.5" customHeight="1">
      <c r="A790" s="9"/>
      <c r="J790" s="9"/>
    </row>
    <row r="791" spans="1:10" ht="16.5" customHeight="1">
      <c r="A791" s="9"/>
      <c r="J791" s="9"/>
    </row>
    <row r="792" spans="1:10" ht="16.5" customHeight="1">
      <c r="A792" s="9"/>
      <c r="J792" s="9"/>
    </row>
    <row r="793" spans="1:10" ht="16.5" customHeight="1">
      <c r="A793" s="9"/>
      <c r="J793" s="9"/>
    </row>
    <row r="794" spans="1:10" ht="16.5" customHeight="1">
      <c r="A794" s="9"/>
      <c r="J794" s="9"/>
    </row>
    <row r="795" spans="1:10" ht="16.5" customHeight="1">
      <c r="A795" s="9"/>
      <c r="J795" s="9"/>
    </row>
    <row r="796" spans="1:10" ht="16.5" customHeight="1">
      <c r="A796" s="9"/>
      <c r="J796" s="9"/>
    </row>
    <row r="797" spans="1:10" ht="16.5" customHeight="1">
      <c r="A797" s="9"/>
      <c r="J797" s="9"/>
    </row>
    <row r="798" spans="1:10" ht="16.5" customHeight="1">
      <c r="A798" s="9"/>
      <c r="J798" s="9"/>
    </row>
    <row r="799" spans="1:10" ht="16.5" customHeight="1">
      <c r="A799" s="9"/>
      <c r="J799" s="9"/>
    </row>
    <row r="800" spans="1:10" ht="16.5" customHeight="1">
      <c r="A800" s="9"/>
      <c r="J800" s="9"/>
    </row>
    <row r="801" spans="1:10" ht="16.5" customHeight="1">
      <c r="A801" s="9"/>
      <c r="J801" s="9"/>
    </row>
    <row r="802" spans="1:10" ht="16.5" customHeight="1">
      <c r="A802" s="9"/>
      <c r="J802" s="9"/>
    </row>
    <row r="803" spans="1:10" ht="16.5" customHeight="1">
      <c r="A803" s="9"/>
      <c r="J803" s="9"/>
    </row>
    <row r="804" spans="1:10" ht="16.5" customHeight="1">
      <c r="A804" s="9"/>
      <c r="J804" s="9"/>
    </row>
    <row r="805" spans="1:10" ht="16.5" customHeight="1">
      <c r="A805" s="9"/>
      <c r="J805" s="9"/>
    </row>
    <row r="806" spans="1:10" ht="16.5" customHeight="1">
      <c r="A806" s="9"/>
      <c r="J806" s="9"/>
    </row>
    <row r="807" spans="1:10" ht="16.5" customHeight="1">
      <c r="A807" s="9"/>
      <c r="J807" s="9"/>
    </row>
    <row r="808" spans="1:10" ht="16.5" customHeight="1">
      <c r="A808" s="9"/>
      <c r="J808" s="9"/>
    </row>
    <row r="809" spans="1:10" ht="16.5" customHeight="1">
      <c r="A809" s="9"/>
      <c r="J809" s="9"/>
    </row>
    <row r="810" spans="1:10" ht="16.5" customHeight="1">
      <c r="A810" s="9"/>
      <c r="J810" s="9"/>
    </row>
    <row r="811" spans="1:10" ht="16.5" customHeight="1">
      <c r="A811" s="9"/>
      <c r="J811" s="9"/>
    </row>
    <row r="812" spans="1:10" ht="16.5" customHeight="1">
      <c r="A812" s="9"/>
      <c r="J812" s="9"/>
    </row>
    <row r="813" spans="1:10" ht="16.5" customHeight="1">
      <c r="A813" s="9"/>
      <c r="J813" s="9"/>
    </row>
    <row r="814" spans="1:10" ht="16.5" customHeight="1">
      <c r="A814" s="9"/>
      <c r="J814" s="9"/>
    </row>
    <row r="815" spans="1:10" ht="16.5" customHeight="1">
      <c r="A815" s="9"/>
      <c r="J815" s="9"/>
    </row>
    <row r="816" spans="1:10" ht="16.5" customHeight="1">
      <c r="A816" s="9"/>
      <c r="J816" s="9"/>
    </row>
    <row r="817" spans="1:10" ht="16.5" customHeight="1">
      <c r="A817" s="9"/>
      <c r="J817" s="9"/>
    </row>
    <row r="818" spans="1:10" ht="16.5" customHeight="1">
      <c r="A818" s="9"/>
      <c r="J818" s="9"/>
    </row>
    <row r="819" spans="1:10" ht="16.5" customHeight="1">
      <c r="A819" s="9"/>
      <c r="J819" s="9"/>
    </row>
    <row r="820" spans="1:10" ht="16.5" customHeight="1">
      <c r="A820" s="9"/>
      <c r="J820" s="9"/>
    </row>
    <row r="821" spans="1:10" ht="16.5" customHeight="1">
      <c r="A821" s="9"/>
      <c r="J821" s="9"/>
    </row>
    <row r="822" spans="1:10" ht="16.5" customHeight="1">
      <c r="A822" s="9"/>
      <c r="J822" s="9"/>
    </row>
    <row r="823" spans="1:10" ht="16.5" customHeight="1">
      <c r="A823" s="9"/>
      <c r="J823" s="9"/>
    </row>
    <row r="824" spans="1:10" ht="16.5" customHeight="1">
      <c r="A824" s="9"/>
      <c r="J824" s="9"/>
    </row>
    <row r="825" spans="1:10" ht="16.5" customHeight="1">
      <c r="A825" s="9"/>
      <c r="J825" s="9"/>
    </row>
    <row r="826" spans="1:10" ht="16.5" customHeight="1">
      <c r="A826" s="9"/>
      <c r="J826" s="9"/>
    </row>
    <row r="827" spans="1:10" ht="16.5" customHeight="1">
      <c r="A827" s="9"/>
      <c r="J827" s="9"/>
    </row>
    <row r="828" spans="1:10" ht="16.5" customHeight="1">
      <c r="A828" s="9"/>
      <c r="J828" s="9"/>
    </row>
    <row r="829" spans="1:10" ht="16.5" customHeight="1">
      <c r="A829" s="9"/>
      <c r="J829" s="9"/>
    </row>
    <row r="830" spans="1:10" ht="16.5" customHeight="1">
      <c r="A830" s="9"/>
      <c r="J830" s="9"/>
    </row>
    <row r="831" spans="1:10" ht="16.5" customHeight="1">
      <c r="A831" s="9"/>
      <c r="J831" s="9"/>
    </row>
    <row r="832" spans="1:10" ht="16.5" customHeight="1">
      <c r="A832" s="9"/>
      <c r="J832" s="9"/>
    </row>
    <row r="833" spans="1:10" ht="16.5" customHeight="1">
      <c r="A833" s="9"/>
      <c r="J833" s="9"/>
    </row>
    <row r="834" spans="1:10" ht="16.5" customHeight="1">
      <c r="A834" s="9"/>
      <c r="J834" s="9"/>
    </row>
    <row r="835" spans="1:10" ht="16.5" customHeight="1">
      <c r="A835" s="9"/>
      <c r="J835" s="9"/>
    </row>
    <row r="836" spans="1:10" ht="16.5" customHeight="1">
      <c r="A836" s="9"/>
      <c r="J836" s="9"/>
    </row>
    <row r="837" spans="1:10" ht="16.5" customHeight="1">
      <c r="A837" s="9"/>
      <c r="J837" s="9"/>
    </row>
    <row r="838" spans="1:10" ht="16.5" customHeight="1">
      <c r="A838" s="9"/>
      <c r="J838" s="9"/>
    </row>
    <row r="839" spans="1:10" ht="16.5" customHeight="1">
      <c r="A839" s="9"/>
      <c r="J839" s="9"/>
    </row>
    <row r="840" spans="1:10" ht="16.5" customHeight="1">
      <c r="A840" s="9"/>
      <c r="J840" s="9"/>
    </row>
    <row r="841" spans="1:10" ht="16.5" customHeight="1">
      <c r="A841" s="9"/>
      <c r="J841" s="9"/>
    </row>
    <row r="842" spans="1:10" ht="16.5" customHeight="1">
      <c r="A842" s="9"/>
      <c r="J842" s="9"/>
    </row>
    <row r="843" spans="1:10" ht="16.5" customHeight="1">
      <c r="A843" s="9"/>
      <c r="J843" s="9"/>
    </row>
    <row r="844" spans="1:10" ht="16.5" customHeight="1">
      <c r="A844" s="9"/>
      <c r="J844" s="9"/>
    </row>
    <row r="845" spans="1:10" ht="16.5" customHeight="1">
      <c r="A845" s="9"/>
      <c r="J845" s="9"/>
    </row>
    <row r="846" spans="1:10" ht="16.5" customHeight="1">
      <c r="A846" s="9"/>
      <c r="J846" s="9"/>
    </row>
    <row r="847" spans="1:10" ht="16.5" customHeight="1">
      <c r="A847" s="9"/>
      <c r="J847" s="9"/>
    </row>
    <row r="848" spans="1:10" ht="16.5" customHeight="1">
      <c r="A848" s="9"/>
      <c r="J848" s="9"/>
    </row>
    <row r="849" spans="1:10" ht="16.5" customHeight="1">
      <c r="A849" s="9"/>
      <c r="J849" s="9"/>
    </row>
    <row r="850" spans="1:10" ht="16.5" customHeight="1">
      <c r="A850" s="9"/>
      <c r="J850" s="9"/>
    </row>
    <row r="851" spans="1:10" ht="16.5" customHeight="1">
      <c r="A851" s="9"/>
      <c r="J851" s="9"/>
    </row>
    <row r="852" spans="1:10" ht="16.5" customHeight="1">
      <c r="A852" s="9"/>
      <c r="J852" s="9"/>
    </row>
    <row r="853" spans="1:10" ht="16.5" customHeight="1">
      <c r="A853" s="9"/>
      <c r="J853" s="9"/>
    </row>
    <row r="854" spans="1:10" ht="16.5" customHeight="1">
      <c r="A854" s="9"/>
      <c r="J854" s="9"/>
    </row>
    <row r="855" spans="1:10" ht="16.5" customHeight="1">
      <c r="A855" s="9"/>
      <c r="J855" s="9"/>
    </row>
    <row r="856" spans="1:10" ht="16.5" customHeight="1">
      <c r="A856" s="9"/>
      <c r="J856" s="9"/>
    </row>
    <row r="857" spans="1:10" ht="16.5" customHeight="1">
      <c r="A857" s="9"/>
      <c r="J857" s="9"/>
    </row>
    <row r="858" spans="1:10" ht="16.5" customHeight="1">
      <c r="A858" s="9"/>
      <c r="J858" s="9"/>
    </row>
    <row r="859" spans="1:10" ht="16.5" customHeight="1">
      <c r="A859" s="9"/>
      <c r="J859" s="9"/>
    </row>
    <row r="860" spans="1:10" ht="16.5" customHeight="1">
      <c r="A860" s="9"/>
      <c r="J860" s="9"/>
    </row>
    <row r="861" spans="1:10" ht="16.5" customHeight="1">
      <c r="A861" s="9"/>
      <c r="J861" s="9"/>
    </row>
    <row r="862" spans="1:10" ht="16.5" customHeight="1">
      <c r="A862" s="9"/>
      <c r="J862" s="9"/>
    </row>
    <row r="863" spans="1:10" ht="16.5" customHeight="1">
      <c r="A863" s="9"/>
      <c r="J863" s="9"/>
    </row>
    <row r="864" spans="1:10" ht="16.5" customHeight="1">
      <c r="A864" s="9"/>
      <c r="J864" s="9"/>
    </row>
    <row r="865" spans="1:10" ht="16.5" customHeight="1">
      <c r="A865" s="9"/>
      <c r="J865" s="9"/>
    </row>
    <row r="866" spans="1:10" ht="16.5" customHeight="1">
      <c r="A866" s="9"/>
      <c r="J866" s="9"/>
    </row>
    <row r="867" spans="1:10" ht="16.5" customHeight="1">
      <c r="A867" s="9"/>
      <c r="J867" s="9"/>
    </row>
    <row r="868" spans="1:10" ht="16.5" customHeight="1">
      <c r="A868" s="9"/>
      <c r="J868" s="9"/>
    </row>
    <row r="869" spans="1:10" ht="16.5" customHeight="1">
      <c r="A869" s="9"/>
      <c r="J869" s="9"/>
    </row>
    <row r="870" spans="1:10" ht="16.5" customHeight="1">
      <c r="A870" s="9"/>
      <c r="J870" s="9"/>
    </row>
    <row r="871" spans="1:10" ht="16.5" customHeight="1">
      <c r="A871" s="9"/>
      <c r="J871" s="9"/>
    </row>
    <row r="872" spans="1:10" ht="16.5" customHeight="1">
      <c r="A872" s="9"/>
      <c r="J872" s="9"/>
    </row>
    <row r="873" spans="1:10" ht="16.5" customHeight="1">
      <c r="A873" s="9"/>
      <c r="J873" s="9"/>
    </row>
    <row r="874" spans="1:10" ht="16.5" customHeight="1">
      <c r="A874" s="9"/>
      <c r="J874" s="9"/>
    </row>
    <row r="875" spans="1:10" ht="16.5" customHeight="1">
      <c r="A875" s="9"/>
      <c r="J875" s="9"/>
    </row>
    <row r="876" spans="1:10" ht="16.5" customHeight="1">
      <c r="A876" s="9"/>
      <c r="J876" s="9"/>
    </row>
    <row r="877" spans="1:10" ht="16.5" customHeight="1">
      <c r="A877" s="9"/>
      <c r="J877" s="9"/>
    </row>
    <row r="878" spans="1:10" ht="16.5" customHeight="1">
      <c r="A878" s="9"/>
      <c r="J878" s="9"/>
    </row>
    <row r="879" spans="1:10" ht="16.5" customHeight="1">
      <c r="A879" s="9"/>
      <c r="J879" s="9"/>
    </row>
    <row r="880" spans="1:10" ht="16.5" customHeight="1">
      <c r="A880" s="9"/>
      <c r="J880" s="9"/>
    </row>
    <row r="881" spans="1:10" ht="16.5" customHeight="1">
      <c r="A881" s="9"/>
      <c r="J881" s="9"/>
    </row>
    <row r="882" spans="1:10" ht="16.5" customHeight="1">
      <c r="A882" s="9"/>
      <c r="J882" s="9"/>
    </row>
    <row r="883" spans="1:10" ht="16.5" customHeight="1">
      <c r="A883" s="9"/>
      <c r="J883" s="9"/>
    </row>
    <row r="884" spans="1:10" ht="16.5" customHeight="1">
      <c r="A884" s="9"/>
      <c r="J884" s="9"/>
    </row>
    <row r="885" spans="1:10" ht="16.5" customHeight="1">
      <c r="A885" s="9"/>
      <c r="J885" s="9"/>
    </row>
    <row r="886" spans="1:10" ht="16.5" customHeight="1">
      <c r="A886" s="9"/>
      <c r="J886" s="9"/>
    </row>
    <row r="887" spans="1:10" ht="16.5" customHeight="1">
      <c r="A887" s="9"/>
      <c r="J887" s="9"/>
    </row>
    <row r="888" spans="1:10" ht="16.5" customHeight="1">
      <c r="A888" s="9"/>
      <c r="J888" s="9"/>
    </row>
    <row r="889" spans="1:10" ht="16.5" customHeight="1">
      <c r="A889" s="9"/>
      <c r="J889" s="9"/>
    </row>
    <row r="890" spans="1:10" ht="16.5" customHeight="1">
      <c r="A890" s="9"/>
      <c r="J890" s="9"/>
    </row>
    <row r="891" spans="1:10" ht="16.5" customHeight="1">
      <c r="A891" s="9"/>
      <c r="J891" s="9"/>
    </row>
    <row r="892" spans="1:10" ht="16.5" customHeight="1">
      <c r="A892" s="9"/>
      <c r="J892" s="9"/>
    </row>
    <row r="893" spans="1:10" ht="16.5" customHeight="1">
      <c r="A893" s="9"/>
      <c r="J893" s="9"/>
    </row>
    <row r="894" spans="1:10" ht="16.5" customHeight="1">
      <c r="A894" s="9"/>
      <c r="J894" s="9"/>
    </row>
    <row r="895" spans="1:10" ht="16.5" customHeight="1">
      <c r="A895" s="9"/>
      <c r="J895" s="9"/>
    </row>
    <row r="896" spans="1:10" ht="16.5" customHeight="1">
      <c r="A896" s="9"/>
      <c r="J896" s="9"/>
    </row>
    <row r="897" spans="1:10" ht="16.5" customHeight="1">
      <c r="A897" s="9"/>
      <c r="J897" s="9"/>
    </row>
    <row r="898" spans="1:10" ht="16.5" customHeight="1">
      <c r="A898" s="9"/>
      <c r="J898" s="9"/>
    </row>
    <row r="899" spans="1:10" ht="16.5" customHeight="1">
      <c r="A899" s="9"/>
      <c r="J899" s="9"/>
    </row>
    <row r="900" spans="1:10" ht="16.5" customHeight="1">
      <c r="A900" s="9"/>
      <c r="J900" s="9"/>
    </row>
    <row r="901" spans="1:10" ht="16.5" customHeight="1">
      <c r="A901" s="9"/>
      <c r="J901" s="9"/>
    </row>
    <row r="902" spans="1:10" ht="16.5" customHeight="1">
      <c r="A902" s="9"/>
      <c r="J902" s="9"/>
    </row>
    <row r="903" spans="1:10" ht="16.5" customHeight="1">
      <c r="A903" s="9"/>
      <c r="J903" s="9"/>
    </row>
    <row r="904" spans="1:10" ht="16.5" customHeight="1">
      <c r="A904" s="9"/>
      <c r="J904" s="9"/>
    </row>
    <row r="905" spans="1:10" ht="16.5" customHeight="1">
      <c r="A905" s="9"/>
      <c r="J905" s="9"/>
    </row>
    <row r="906" spans="1:10" ht="16.5" customHeight="1">
      <c r="A906" s="9"/>
      <c r="J906" s="9"/>
    </row>
    <row r="908" spans="1:10" ht="16.5" customHeight="1"/>
    <row r="910" spans="1:10" ht="16.5" customHeight="1"/>
    <row r="912" spans="1:10" ht="16.5" customHeight="1"/>
    <row r="913" ht="16.5" customHeight="1"/>
  </sheetData>
  <pageMargins left="0.7" right="0.7" top="0.75" bottom="0.75" header="0.3" footer="0.3"/>
  <pageSetup paperSize="9" orientation="landscape" horizontalDpi="0" verticalDpi="0" r:id="rId1"/>
  <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BC742-E056-4C9A-B615-C33EA1E32C2B}">
  <dimension ref="A1:O599"/>
  <sheetViews>
    <sheetView showGridLines="0" showRowColHeaders="0" zoomScale="80" zoomScaleNormal="80" workbookViewId="0">
      <pane ySplit="4" topLeftCell="A10" activePane="bottomLeft" state="frozen"/>
      <selection pane="bottomLeft"/>
    </sheetView>
  </sheetViews>
  <sheetFormatPr defaultColWidth="0" defaultRowHeight="16.5" customHeight="1" zeroHeight="1"/>
  <cols>
    <col min="1" max="2" width="3.140625" style="1" customWidth="1"/>
    <col min="3" max="3" width="28.5703125" style="1" customWidth="1"/>
    <col min="4" max="13" width="18.5703125" style="1" customWidth="1"/>
    <col min="14" max="15" width="3.140625" style="1" customWidth="1"/>
    <col min="16" max="16384" width="8.7109375" style="1" hidden="1"/>
  </cols>
  <sheetData>
    <row r="1" spans="1:15" ht="29.45" customHeight="1">
      <c r="A1" s="9"/>
      <c r="C1" s="10" t="s">
        <v>0</v>
      </c>
      <c r="O1" s="9"/>
    </row>
    <row r="2" spans="1:15" ht="21" customHeight="1">
      <c r="A2" s="9"/>
      <c r="C2" s="11" t="s">
        <v>12</v>
      </c>
      <c r="O2" s="9"/>
    </row>
    <row r="3" spans="1:15" ht="14.45" customHeight="1">
      <c r="A3" s="9"/>
      <c r="C3" s="13" t="str" cm="1">
        <f t="array" ref="C3">"Período: "&amp;Periodo[Ano]-9&amp;" a "&amp;Periodo[Ano]</f>
        <v>Período: 2015 a 2024</v>
      </c>
      <c r="D3" s="14"/>
      <c r="E3" s="14"/>
      <c r="F3" s="13" t="s">
        <v>2</v>
      </c>
      <c r="O3" s="9"/>
    </row>
    <row r="4" spans="1:15" ht="7.5" customHeight="1">
      <c r="A4" s="9"/>
      <c r="O4" s="9"/>
    </row>
    <row r="5" spans="1:15" ht="21">
      <c r="A5" s="9"/>
      <c r="C5" s="6" t="s">
        <v>3</v>
      </c>
      <c r="O5" s="9"/>
    </row>
    <row r="6" spans="1:15">
      <c r="A6" s="9"/>
      <c r="C6" s="3" t="s">
        <v>13</v>
      </c>
      <c r="D6" s="4" cm="1">
        <f t="array" ref="D6">Periodo[Ano]-9</f>
        <v>2015</v>
      </c>
      <c r="E6" s="4">
        <f>D6+1</f>
        <v>2016</v>
      </c>
      <c r="F6" s="4">
        <f t="shared" ref="F6:M6" si="0">E6+1</f>
        <v>2017</v>
      </c>
      <c r="G6" s="4">
        <f t="shared" si="0"/>
        <v>2018</v>
      </c>
      <c r="H6" s="4">
        <f t="shared" si="0"/>
        <v>2019</v>
      </c>
      <c r="I6" s="4">
        <f t="shared" si="0"/>
        <v>2020</v>
      </c>
      <c r="J6" s="4">
        <f t="shared" si="0"/>
        <v>2021</v>
      </c>
      <c r="K6" s="4">
        <f t="shared" si="0"/>
        <v>2022</v>
      </c>
      <c r="L6" s="4">
        <f t="shared" si="0"/>
        <v>2023</v>
      </c>
      <c r="M6" s="4">
        <f t="shared" si="0"/>
        <v>2024</v>
      </c>
      <c r="N6" s="5"/>
      <c r="O6" s="9"/>
    </row>
    <row r="7" spans="1:15">
      <c r="A7" s="9"/>
      <c r="C7" s="18" t="s">
        <v>14</v>
      </c>
      <c r="D7" s="19">
        <v>13944929.560000001</v>
      </c>
      <c r="E7" s="19">
        <v>13574656.01</v>
      </c>
      <c r="F7" s="19">
        <v>13847606.789999999</v>
      </c>
      <c r="G7" s="19">
        <v>14837301.23</v>
      </c>
      <c r="H7" s="19">
        <v>15299613.85</v>
      </c>
      <c r="I7" s="19">
        <v>17211378.153999999</v>
      </c>
      <c r="J7" s="19">
        <v>16364091.504000001</v>
      </c>
      <c r="K7" s="19">
        <v>17856509.170000002</v>
      </c>
      <c r="L7" s="19">
        <v>16204990.128</v>
      </c>
      <c r="M7" s="19">
        <v>1370398.4639999999</v>
      </c>
      <c r="O7" s="9"/>
    </row>
    <row r="8" spans="1:15">
      <c r="A8" s="9"/>
      <c r="C8" s="18" t="s">
        <v>15</v>
      </c>
      <c r="D8" s="19">
        <v>1735852.6</v>
      </c>
      <c r="E8" s="19">
        <v>1715020.8</v>
      </c>
      <c r="F8" s="19">
        <v>1934591</v>
      </c>
      <c r="G8" s="19">
        <v>2108775</v>
      </c>
      <c r="H8" s="19">
        <v>3094816</v>
      </c>
      <c r="I8" s="19">
        <v>3291765</v>
      </c>
      <c r="J8" s="19">
        <v>3752835</v>
      </c>
      <c r="K8" s="19">
        <v>4179826</v>
      </c>
      <c r="L8" s="19">
        <v>4547057</v>
      </c>
      <c r="M8" s="19">
        <v>485825</v>
      </c>
      <c r="O8" s="9"/>
    </row>
    <row r="9" spans="1:15" ht="16.5" customHeight="1">
      <c r="A9" s="9"/>
      <c r="C9" s="18" t="s">
        <v>16</v>
      </c>
      <c r="D9" s="19">
        <v>6437284.0800000001</v>
      </c>
      <c r="E9" s="19">
        <v>7417597.9100000001</v>
      </c>
      <c r="F9" s="19">
        <v>7245328.75</v>
      </c>
      <c r="G9" s="19">
        <v>7098265.9400000004</v>
      </c>
      <c r="H9" s="19">
        <v>6402186.8099999996</v>
      </c>
      <c r="I9" s="19">
        <v>5592305.7300000004</v>
      </c>
      <c r="J9" s="19">
        <v>6222393.2000000002</v>
      </c>
      <c r="K9" s="19">
        <v>4336743.25</v>
      </c>
      <c r="L9" s="19">
        <v>5349654.8</v>
      </c>
      <c r="M9" s="19">
        <v>457160</v>
      </c>
      <c r="O9" s="9"/>
    </row>
    <row r="10" spans="1:15" ht="16.5" customHeight="1">
      <c r="A10" s="9"/>
      <c r="C10" s="18" t="s">
        <v>17</v>
      </c>
      <c r="D10" s="19">
        <v>669917.52</v>
      </c>
      <c r="E10" s="19">
        <v>1534897.88</v>
      </c>
      <c r="F10" s="19">
        <v>1263199.8</v>
      </c>
      <c r="G10" s="19">
        <v>2467506.64</v>
      </c>
      <c r="H10" s="19">
        <v>2777171.28</v>
      </c>
      <c r="I10" s="19">
        <v>3312105.12</v>
      </c>
      <c r="J10" s="19">
        <v>2475709.1</v>
      </c>
      <c r="K10" s="19">
        <v>2082215.82</v>
      </c>
      <c r="L10" s="19">
        <v>2943133.04</v>
      </c>
      <c r="M10" s="19">
        <v>326724.96000000002</v>
      </c>
      <c r="O10" s="9"/>
    </row>
    <row r="11" spans="1:15" ht="16.5" customHeight="1">
      <c r="A11" s="9"/>
      <c r="C11" s="18" t="s">
        <v>18</v>
      </c>
      <c r="D11" s="19">
        <v>718505</v>
      </c>
      <c r="E11" s="19">
        <v>359414.96</v>
      </c>
      <c r="F11" s="19">
        <v>687003.08</v>
      </c>
      <c r="G11" s="19">
        <v>1267830.21</v>
      </c>
      <c r="H11" s="19">
        <v>1829427</v>
      </c>
      <c r="I11" s="19">
        <v>1844263.169</v>
      </c>
      <c r="J11" s="19">
        <v>2100585.3199999998</v>
      </c>
      <c r="K11" s="19">
        <v>1158642.148</v>
      </c>
      <c r="L11" s="19">
        <v>1192746.1200000001</v>
      </c>
      <c r="M11" s="19">
        <v>316689.03999999998</v>
      </c>
      <c r="O11" s="9"/>
    </row>
    <row r="12" spans="1:15" ht="16.5" customHeight="1">
      <c r="A12" s="9"/>
      <c r="C12" s="18" t="s">
        <v>19</v>
      </c>
      <c r="D12" s="19">
        <v>506805.6</v>
      </c>
      <c r="E12" s="19">
        <v>265683.20000000001</v>
      </c>
      <c r="F12" s="19">
        <v>261060.4</v>
      </c>
      <c r="G12" s="19">
        <v>310516.8</v>
      </c>
      <c r="H12" s="19">
        <v>191557.2</v>
      </c>
      <c r="I12" s="19">
        <v>2057227.2</v>
      </c>
      <c r="J12" s="19">
        <v>1710123</v>
      </c>
      <c r="K12" s="19">
        <v>1996793.2</v>
      </c>
      <c r="L12" s="19">
        <v>2077567.2</v>
      </c>
      <c r="M12" s="19">
        <v>288850.40000000002</v>
      </c>
      <c r="O12" s="9"/>
    </row>
    <row r="13" spans="1:15" ht="16.5" customHeight="1">
      <c r="A13" s="9"/>
      <c r="C13" s="18" t="s">
        <v>20</v>
      </c>
      <c r="D13" s="19">
        <v>9252063.4000000004</v>
      </c>
      <c r="E13" s="19">
        <v>12049164.800000001</v>
      </c>
      <c r="F13" s="19">
        <v>11406904.199999999</v>
      </c>
      <c r="G13" s="19">
        <v>10166903.6</v>
      </c>
      <c r="H13" s="19">
        <v>8902329.5999999996</v>
      </c>
      <c r="I13" s="19">
        <v>8688563.1999999993</v>
      </c>
      <c r="J13" s="19">
        <v>8780079</v>
      </c>
      <c r="K13" s="19">
        <v>3117228.2</v>
      </c>
      <c r="L13" s="19">
        <v>1310426</v>
      </c>
      <c r="M13" s="19">
        <v>273448.40000000002</v>
      </c>
      <c r="O13" s="9"/>
    </row>
    <row r="14" spans="1:15" ht="16.5" customHeight="1">
      <c r="A14" s="9"/>
      <c r="C14" s="18" t="s">
        <v>21</v>
      </c>
      <c r="D14" s="19">
        <v>2808940</v>
      </c>
      <c r="E14" s="19">
        <v>2923699.4</v>
      </c>
      <c r="F14" s="19">
        <v>2189374</v>
      </c>
      <c r="G14" s="19">
        <v>1589591</v>
      </c>
      <c r="H14" s="19">
        <v>1825495</v>
      </c>
      <c r="I14" s="19">
        <v>1014415</v>
      </c>
      <c r="J14" s="19">
        <v>905208</v>
      </c>
      <c r="K14" s="19">
        <v>2257878</v>
      </c>
      <c r="L14" s="19">
        <v>1643424</v>
      </c>
      <c r="M14" s="19">
        <v>271419</v>
      </c>
      <c r="O14" s="9"/>
    </row>
    <row r="15" spans="1:15" ht="16.5" customHeight="1">
      <c r="A15" s="9"/>
      <c r="C15" s="18" t="s">
        <v>22</v>
      </c>
      <c r="D15" s="19">
        <v>4053840</v>
      </c>
      <c r="E15" s="19">
        <v>3977340</v>
      </c>
      <c r="F15" s="19">
        <v>4922520</v>
      </c>
      <c r="G15" s="19">
        <v>6787620</v>
      </c>
      <c r="H15" s="19">
        <v>6672420</v>
      </c>
      <c r="I15" s="19">
        <v>5518470</v>
      </c>
      <c r="J15" s="19">
        <v>6398460</v>
      </c>
      <c r="K15" s="19">
        <v>6190380</v>
      </c>
      <c r="L15" s="19">
        <v>5219340</v>
      </c>
      <c r="M15" s="19">
        <v>208080</v>
      </c>
      <c r="O15" s="9"/>
    </row>
    <row r="16" spans="1:15" ht="16.5" customHeight="1">
      <c r="A16" s="9"/>
      <c r="C16" s="18" t="s">
        <v>23</v>
      </c>
      <c r="D16" s="19">
        <v>1021192.24</v>
      </c>
      <c r="E16" s="19">
        <v>748353.04</v>
      </c>
      <c r="F16" s="19">
        <v>710493.9</v>
      </c>
      <c r="G16" s="19">
        <v>784451.4</v>
      </c>
      <c r="H16" s="19">
        <v>1170464.3999999999</v>
      </c>
      <c r="I16" s="19">
        <v>779496</v>
      </c>
      <c r="J16" s="19">
        <v>997155.9</v>
      </c>
      <c r="K16" s="19">
        <v>960564.12</v>
      </c>
      <c r="L16" s="19">
        <v>1415260.97</v>
      </c>
      <c r="M16" s="19">
        <v>207776.2</v>
      </c>
      <c r="O16" s="9"/>
    </row>
    <row r="17" spans="1:15" ht="16.5" customHeight="1">
      <c r="A17" s="9"/>
      <c r="C17" s="18" t="s">
        <v>24</v>
      </c>
      <c r="D17" s="19">
        <v>2077389.34</v>
      </c>
      <c r="E17" s="19">
        <v>2193107.7599999998</v>
      </c>
      <c r="F17" s="19">
        <v>2511088.9</v>
      </c>
      <c r="G17" s="19">
        <v>2613847.62</v>
      </c>
      <c r="H17" s="19">
        <v>2358339</v>
      </c>
      <c r="I17" s="19">
        <v>3460986.84</v>
      </c>
      <c r="J17" s="19">
        <v>2227463.2400000002</v>
      </c>
      <c r="K17" s="19">
        <v>2691339.18</v>
      </c>
      <c r="L17" s="19">
        <v>2372826.7200000002</v>
      </c>
      <c r="M17" s="19">
        <v>204553.92</v>
      </c>
      <c r="O17" s="9"/>
    </row>
    <row r="18" spans="1:15" ht="16.5" customHeight="1">
      <c r="A18" s="9"/>
      <c r="C18" s="18" t="s">
        <v>25</v>
      </c>
      <c r="D18" s="19">
        <v>2903716</v>
      </c>
      <c r="E18" s="19">
        <v>2429920</v>
      </c>
      <c r="F18" s="19">
        <v>3002596</v>
      </c>
      <c r="G18" s="19">
        <v>3463575</v>
      </c>
      <c r="H18" s="19">
        <v>3257546</v>
      </c>
      <c r="I18" s="19">
        <v>2131752.2000000002</v>
      </c>
      <c r="J18" s="19">
        <v>2209160.2000000002</v>
      </c>
      <c r="K18" s="19">
        <v>2697063</v>
      </c>
      <c r="L18" s="19">
        <v>2228542.16</v>
      </c>
      <c r="M18" s="19">
        <v>196866</v>
      </c>
      <c r="O18" s="9"/>
    </row>
    <row r="19" spans="1:15" ht="16.5" customHeight="1">
      <c r="A19" s="9"/>
      <c r="C19" s="18" t="s">
        <v>26</v>
      </c>
      <c r="D19" s="19">
        <v>1567283.92</v>
      </c>
      <c r="E19" s="19">
        <v>1345031</v>
      </c>
      <c r="F19" s="19">
        <v>1226544.7</v>
      </c>
      <c r="G19" s="19">
        <v>1480033.6</v>
      </c>
      <c r="H19" s="19">
        <v>1456101.4</v>
      </c>
      <c r="I19" s="19">
        <v>1740565.6</v>
      </c>
      <c r="J19" s="19">
        <v>2125752.6</v>
      </c>
      <c r="K19" s="19">
        <v>1523862</v>
      </c>
      <c r="L19" s="19">
        <v>1875286</v>
      </c>
      <c r="M19" s="19">
        <v>196770</v>
      </c>
      <c r="O19" s="9"/>
    </row>
    <row r="20" spans="1:15" ht="16.5" customHeight="1">
      <c r="A20" s="9"/>
      <c r="C20" s="18" t="s">
        <v>27</v>
      </c>
      <c r="D20" s="19">
        <v>5283045.3600000003</v>
      </c>
      <c r="E20" s="19">
        <v>5359143.6339999996</v>
      </c>
      <c r="F20" s="19">
        <v>4677263.5820000004</v>
      </c>
      <c r="G20" s="19">
        <v>5506329.6160000004</v>
      </c>
      <c r="H20" s="19">
        <v>5735078.1799999997</v>
      </c>
      <c r="I20" s="19">
        <v>7175474.3679999998</v>
      </c>
      <c r="J20" s="19">
        <v>8188134.4720000001</v>
      </c>
      <c r="K20" s="19">
        <v>6976794.415</v>
      </c>
      <c r="L20" s="19">
        <v>8272614.1129999999</v>
      </c>
      <c r="M20" s="19">
        <v>179030</v>
      </c>
      <c r="O20" s="9"/>
    </row>
    <row r="21" spans="1:15" ht="16.5" customHeight="1">
      <c r="A21" s="9"/>
      <c r="C21" s="18" t="s">
        <v>28</v>
      </c>
      <c r="D21" s="19">
        <v>504469.6</v>
      </c>
      <c r="E21" s="19">
        <v>609354.4</v>
      </c>
      <c r="F21" s="19">
        <v>628188</v>
      </c>
      <c r="G21" s="19">
        <v>614019.19999999995</v>
      </c>
      <c r="H21" s="19">
        <v>788822</v>
      </c>
      <c r="I21" s="19">
        <v>460939.68</v>
      </c>
      <c r="J21" s="19">
        <v>877354.25600000005</v>
      </c>
      <c r="K21" s="19">
        <v>575866.96</v>
      </c>
      <c r="L21" s="19">
        <v>1905453.08</v>
      </c>
      <c r="M21" s="19">
        <v>169684.56</v>
      </c>
      <c r="O21" s="9"/>
    </row>
    <row r="22" spans="1:15" ht="16.5" customHeight="1">
      <c r="A22" s="9"/>
      <c r="C22" s="18" t="s">
        <v>29</v>
      </c>
      <c r="D22" s="19">
        <v>73660</v>
      </c>
      <c r="E22" s="19">
        <v>35250</v>
      </c>
      <c r="F22" s="19"/>
      <c r="G22" s="19">
        <v>95040</v>
      </c>
      <c r="H22" s="19">
        <v>111415</v>
      </c>
      <c r="I22" s="19">
        <v>217095</v>
      </c>
      <c r="J22" s="19">
        <v>628935</v>
      </c>
      <c r="K22" s="19">
        <v>3627864.2</v>
      </c>
      <c r="L22" s="19">
        <v>5033714.5999999996</v>
      </c>
      <c r="M22" s="19">
        <v>161160</v>
      </c>
      <c r="O22" s="9"/>
    </row>
    <row r="23" spans="1:15" ht="16.5" customHeight="1">
      <c r="A23" s="9"/>
      <c r="C23" s="18" t="s">
        <v>30</v>
      </c>
      <c r="D23" s="19">
        <v>1518620</v>
      </c>
      <c r="E23" s="19">
        <v>2771602.4</v>
      </c>
      <c r="F23" s="19">
        <v>1691995.4</v>
      </c>
      <c r="G23" s="19">
        <v>1943012.2</v>
      </c>
      <c r="H23" s="19">
        <v>1614198</v>
      </c>
      <c r="I23" s="19">
        <v>1794045.8</v>
      </c>
      <c r="J23" s="19">
        <v>1792267.8</v>
      </c>
      <c r="K23" s="19">
        <v>819709</v>
      </c>
      <c r="L23" s="19">
        <v>795592</v>
      </c>
      <c r="M23" s="19">
        <v>153420</v>
      </c>
      <c r="O23" s="9"/>
    </row>
    <row r="24" spans="1:15" ht="16.5" customHeight="1">
      <c r="A24" s="9"/>
      <c r="C24" s="18" t="s">
        <v>31</v>
      </c>
      <c r="D24" s="19">
        <v>446467.2</v>
      </c>
      <c r="E24" s="19">
        <v>440894.53</v>
      </c>
      <c r="F24" s="19">
        <v>164315.4</v>
      </c>
      <c r="G24" s="19">
        <v>186156</v>
      </c>
      <c r="H24" s="19">
        <v>181387.2</v>
      </c>
      <c r="I24" s="19">
        <v>193504.92</v>
      </c>
      <c r="J24" s="19">
        <v>239229.96</v>
      </c>
      <c r="K24" s="19">
        <v>180575.4</v>
      </c>
      <c r="L24" s="19">
        <v>236126.3</v>
      </c>
      <c r="M24" s="19">
        <v>125857</v>
      </c>
      <c r="O24" s="9"/>
    </row>
    <row r="25" spans="1:15" ht="16.5" customHeight="1">
      <c r="A25" s="9"/>
      <c r="C25" s="18" t="s">
        <v>32</v>
      </c>
      <c r="D25" s="19">
        <v>1811394.06</v>
      </c>
      <c r="E25" s="19">
        <v>1941182.8</v>
      </c>
      <c r="F25" s="19">
        <v>1712556.2</v>
      </c>
      <c r="G25" s="19">
        <v>1860284.4</v>
      </c>
      <c r="H25" s="19">
        <v>2166744.2000000002</v>
      </c>
      <c r="I25" s="19">
        <v>1457197.08</v>
      </c>
      <c r="J25" s="19">
        <v>1256622.3999999999</v>
      </c>
      <c r="K25" s="19">
        <v>1164755.76</v>
      </c>
      <c r="L25" s="19">
        <v>1089845.22</v>
      </c>
      <c r="M25" s="19">
        <v>98181.36</v>
      </c>
      <c r="O25" s="9"/>
    </row>
    <row r="26" spans="1:15" ht="16.5" customHeight="1">
      <c r="A26" s="9"/>
      <c r="C26" s="18" t="s">
        <v>33</v>
      </c>
      <c r="D26" s="19">
        <v>637127.39</v>
      </c>
      <c r="E26" s="19">
        <v>775420.96</v>
      </c>
      <c r="F26" s="19">
        <v>729401.64</v>
      </c>
      <c r="G26" s="19">
        <v>762764.64</v>
      </c>
      <c r="H26" s="19">
        <v>1008900.8</v>
      </c>
      <c r="I26" s="19">
        <v>1315998.264</v>
      </c>
      <c r="J26" s="19">
        <v>1032224.38</v>
      </c>
      <c r="K26" s="19">
        <v>998357.2</v>
      </c>
      <c r="L26" s="19">
        <v>1038403.2560000001</v>
      </c>
      <c r="M26" s="19">
        <v>95703.360000000001</v>
      </c>
      <c r="O26" s="9"/>
    </row>
    <row r="27" spans="1:15" ht="16.5" customHeight="1">
      <c r="A27" s="9"/>
      <c r="C27" s="18" t="s">
        <v>34</v>
      </c>
      <c r="D27" s="19">
        <v>911631.6</v>
      </c>
      <c r="E27" s="19">
        <v>1100528.7</v>
      </c>
      <c r="F27" s="19">
        <v>880873.5</v>
      </c>
      <c r="G27" s="19">
        <v>1242266.7</v>
      </c>
      <c r="H27" s="19">
        <v>1100702.7</v>
      </c>
      <c r="I27" s="19">
        <v>1122650.3999999999</v>
      </c>
      <c r="J27" s="19">
        <v>1097927.1000000001</v>
      </c>
      <c r="K27" s="19">
        <v>1137502.68</v>
      </c>
      <c r="L27" s="19">
        <v>826349.82</v>
      </c>
      <c r="M27" s="19">
        <v>91208.1</v>
      </c>
      <c r="O27" s="9"/>
    </row>
    <row r="28" spans="1:15" ht="16.5" customHeight="1">
      <c r="A28" s="9"/>
      <c r="C28" s="18" t="s">
        <v>35</v>
      </c>
      <c r="D28" s="19">
        <v>211435</v>
      </c>
      <c r="E28" s="19">
        <v>35515</v>
      </c>
      <c r="F28" s="19">
        <v>699755</v>
      </c>
      <c r="G28" s="19">
        <v>329830</v>
      </c>
      <c r="H28" s="19">
        <v>76750</v>
      </c>
      <c r="I28" s="19">
        <v>98455</v>
      </c>
      <c r="J28" s="19">
        <v>90698</v>
      </c>
      <c r="K28" s="19">
        <v>93445</v>
      </c>
      <c r="L28" s="19">
        <v>902585</v>
      </c>
      <c r="M28" s="19">
        <v>90375</v>
      </c>
      <c r="O28" s="9"/>
    </row>
    <row r="29" spans="1:15" ht="16.5" customHeight="1">
      <c r="A29" s="9"/>
      <c r="C29" s="18" t="s">
        <v>36</v>
      </c>
      <c r="D29" s="19">
        <v>1695601</v>
      </c>
      <c r="E29" s="19">
        <v>2013705.6</v>
      </c>
      <c r="F29" s="19">
        <v>1135020.8</v>
      </c>
      <c r="G29" s="19">
        <v>758888.36</v>
      </c>
      <c r="H29" s="19">
        <v>1535473.8</v>
      </c>
      <c r="I29" s="19">
        <v>898434.44</v>
      </c>
      <c r="J29" s="19">
        <v>1068896.76</v>
      </c>
      <c r="K29" s="19">
        <v>437995.84</v>
      </c>
      <c r="L29" s="19">
        <v>2008060.88</v>
      </c>
      <c r="M29" s="19">
        <v>83791.821299999996</v>
      </c>
      <c r="O29" s="9"/>
    </row>
    <row r="30" spans="1:15" ht="16.5" customHeight="1">
      <c r="A30" s="9"/>
      <c r="C30" s="18" t="s">
        <v>37</v>
      </c>
      <c r="D30" s="19">
        <v>1948382</v>
      </c>
      <c r="E30" s="19">
        <v>1388452</v>
      </c>
      <c r="F30" s="19">
        <v>1418325</v>
      </c>
      <c r="G30" s="19">
        <v>2527778</v>
      </c>
      <c r="H30" s="19">
        <v>4079395</v>
      </c>
      <c r="I30" s="19">
        <v>2726815</v>
      </c>
      <c r="J30" s="19">
        <v>2896920</v>
      </c>
      <c r="K30" s="19">
        <v>3576165</v>
      </c>
      <c r="L30" s="19">
        <v>2078390</v>
      </c>
      <c r="M30" s="19">
        <v>79200</v>
      </c>
      <c r="O30" s="9"/>
    </row>
    <row r="31" spans="1:15" ht="16.5" customHeight="1">
      <c r="A31" s="9"/>
      <c r="C31" s="18" t="s">
        <v>38</v>
      </c>
      <c r="D31" s="19"/>
      <c r="E31" s="19">
        <v>15840</v>
      </c>
      <c r="F31" s="19">
        <v>297180</v>
      </c>
      <c r="G31" s="19">
        <v>294174</v>
      </c>
      <c r="H31" s="19">
        <v>1220976.236</v>
      </c>
      <c r="I31" s="19">
        <v>1427788.4369999999</v>
      </c>
      <c r="J31" s="19">
        <v>498416.40399999998</v>
      </c>
      <c r="K31" s="19">
        <v>137471.14000000001</v>
      </c>
      <c r="L31" s="19">
        <v>1410022.72</v>
      </c>
      <c r="M31" s="19">
        <v>74417.990000000005</v>
      </c>
      <c r="O31" s="9"/>
    </row>
    <row r="32" spans="1:15" ht="16.5" customHeight="1">
      <c r="A32" s="9"/>
      <c r="C32" s="18" t="s">
        <v>39</v>
      </c>
      <c r="D32" s="19">
        <v>390160</v>
      </c>
      <c r="E32" s="19">
        <v>202975</v>
      </c>
      <c r="F32" s="19">
        <v>358765</v>
      </c>
      <c r="G32" s="19">
        <v>407175</v>
      </c>
      <c r="H32" s="19">
        <v>90375</v>
      </c>
      <c r="I32" s="19">
        <v>67285</v>
      </c>
      <c r="J32" s="19">
        <v>36150</v>
      </c>
      <c r="K32" s="19">
        <v>932533</v>
      </c>
      <c r="L32" s="19">
        <v>340578</v>
      </c>
      <c r="M32" s="19">
        <v>52138</v>
      </c>
      <c r="O32" s="9"/>
    </row>
    <row r="33" spans="1:15" ht="16.5" customHeight="1">
      <c r="A33" s="9"/>
      <c r="C33" s="18" t="s">
        <v>40</v>
      </c>
      <c r="D33" s="19">
        <v>379557</v>
      </c>
      <c r="E33" s="19">
        <v>633730.80000000005</v>
      </c>
      <c r="F33" s="19">
        <v>688148.6</v>
      </c>
      <c r="G33" s="19">
        <v>791003.6</v>
      </c>
      <c r="H33" s="19">
        <v>347733.2</v>
      </c>
      <c r="I33" s="19">
        <v>734225.8</v>
      </c>
      <c r="J33" s="19">
        <v>351037</v>
      </c>
      <c r="K33" s="19">
        <v>856362.66</v>
      </c>
      <c r="L33" s="19">
        <v>806663</v>
      </c>
      <c r="M33" s="19">
        <v>48972</v>
      </c>
      <c r="O33" s="9"/>
    </row>
    <row r="34" spans="1:15" ht="16.5" customHeight="1">
      <c r="A34" s="9"/>
      <c r="C34" s="18" t="s">
        <v>41</v>
      </c>
      <c r="D34" s="19">
        <v>739658.56</v>
      </c>
      <c r="E34" s="19">
        <v>756771.78</v>
      </c>
      <c r="F34" s="19">
        <v>587840.34</v>
      </c>
      <c r="G34" s="19">
        <v>525286.19999999995</v>
      </c>
      <c r="H34" s="19">
        <v>518246.6</v>
      </c>
      <c r="I34" s="19">
        <v>555398.80000000005</v>
      </c>
      <c r="J34" s="19">
        <v>485364</v>
      </c>
      <c r="K34" s="19">
        <v>496360.6</v>
      </c>
      <c r="L34" s="19">
        <v>487420.5</v>
      </c>
      <c r="M34" s="19">
        <v>45752.4</v>
      </c>
      <c r="O34" s="9"/>
    </row>
    <row r="35" spans="1:15" ht="16.5" customHeight="1">
      <c r="A35" s="9"/>
      <c r="C35" s="18" t="s">
        <v>42</v>
      </c>
      <c r="D35" s="19">
        <v>831000</v>
      </c>
      <c r="E35" s="19">
        <v>1033650</v>
      </c>
      <c r="F35" s="19">
        <v>514860</v>
      </c>
      <c r="G35" s="19">
        <v>386880</v>
      </c>
      <c r="H35" s="19">
        <v>432036</v>
      </c>
      <c r="I35" s="19">
        <v>591700</v>
      </c>
      <c r="J35" s="19">
        <v>604035</v>
      </c>
      <c r="K35" s="19">
        <v>287960</v>
      </c>
      <c r="L35" s="19">
        <v>288000</v>
      </c>
      <c r="M35" s="19">
        <v>43200</v>
      </c>
      <c r="O35" s="9"/>
    </row>
    <row r="36" spans="1:15" ht="16.5" customHeight="1">
      <c r="A36" s="9"/>
      <c r="C36" s="18" t="s">
        <v>43</v>
      </c>
      <c r="D36" s="19">
        <v>55620</v>
      </c>
      <c r="E36" s="19">
        <v>139060</v>
      </c>
      <c r="F36" s="19">
        <v>134720</v>
      </c>
      <c r="G36" s="19">
        <v>60800</v>
      </c>
      <c r="H36" s="19">
        <v>267384</v>
      </c>
      <c r="I36" s="19">
        <v>163202</v>
      </c>
      <c r="J36" s="19">
        <v>212112</v>
      </c>
      <c r="K36" s="19">
        <v>227758</v>
      </c>
      <c r="L36" s="19">
        <v>217086</v>
      </c>
      <c r="M36" s="19">
        <v>39035</v>
      </c>
      <c r="O36" s="9"/>
    </row>
    <row r="37" spans="1:15" ht="16.5" customHeight="1">
      <c r="A37" s="9"/>
      <c r="C37" s="18" t="s">
        <v>44</v>
      </c>
      <c r="D37" s="19">
        <v>557140.92000000004</v>
      </c>
      <c r="E37" s="19">
        <v>644507.6</v>
      </c>
      <c r="F37" s="19">
        <v>690414.60800000001</v>
      </c>
      <c r="G37" s="19">
        <v>497856.35100000002</v>
      </c>
      <c r="H37" s="19">
        <v>762399.09900000005</v>
      </c>
      <c r="I37" s="19">
        <v>876445.35739999998</v>
      </c>
      <c r="J37" s="19">
        <v>797192.19640000002</v>
      </c>
      <c r="K37" s="19">
        <v>780693.95400000003</v>
      </c>
      <c r="L37" s="19">
        <v>689037.43599999999</v>
      </c>
      <c r="M37" s="19">
        <v>36270.639999999999</v>
      </c>
      <c r="O37" s="9"/>
    </row>
    <row r="38" spans="1:15" ht="16.5" customHeight="1">
      <c r="A38" s="9"/>
      <c r="C38" s="18" t="s">
        <v>45</v>
      </c>
      <c r="D38" s="19">
        <v>123743.2</v>
      </c>
      <c r="E38" s="19">
        <v>306104.59999999998</v>
      </c>
      <c r="F38" s="19">
        <v>119638.39999999999</v>
      </c>
      <c r="G38" s="19">
        <v>256953.2</v>
      </c>
      <c r="H38" s="19">
        <v>208358.39999999999</v>
      </c>
      <c r="I38" s="19">
        <v>223027.6</v>
      </c>
      <c r="J38" s="19">
        <v>408020.8</v>
      </c>
      <c r="K38" s="19">
        <v>274095.59999999998</v>
      </c>
      <c r="L38" s="19">
        <v>253358.4</v>
      </c>
      <c r="M38" s="19">
        <v>32512.799999999999</v>
      </c>
      <c r="O38" s="9"/>
    </row>
    <row r="39" spans="1:15" ht="16.5" customHeight="1">
      <c r="A39" s="9"/>
      <c r="C39" s="18" t="s">
        <v>46</v>
      </c>
      <c r="D39" s="19">
        <v>371435.52000000002</v>
      </c>
      <c r="E39" s="19">
        <v>390281.64</v>
      </c>
      <c r="F39" s="19">
        <v>355349.4</v>
      </c>
      <c r="G39" s="19">
        <v>316253.40000000002</v>
      </c>
      <c r="H39" s="19">
        <v>330532.2</v>
      </c>
      <c r="I39" s="19">
        <v>302932.2</v>
      </c>
      <c r="J39" s="19">
        <v>346366.2</v>
      </c>
      <c r="K39" s="19">
        <v>286088.40000000002</v>
      </c>
      <c r="L39" s="19">
        <v>336756.6</v>
      </c>
      <c r="M39" s="19">
        <v>31056.6</v>
      </c>
      <c r="O39" s="9"/>
    </row>
    <row r="40" spans="1:15" ht="16.5" customHeight="1">
      <c r="A40" s="9"/>
      <c r="C40" s="18" t="s">
        <v>47</v>
      </c>
      <c r="D40" s="19">
        <v>3279.6</v>
      </c>
      <c r="E40" s="19">
        <v>3480</v>
      </c>
      <c r="F40" s="19">
        <v>1812</v>
      </c>
      <c r="G40" s="19">
        <v>49320.4</v>
      </c>
      <c r="H40" s="19">
        <v>60518.400000000001</v>
      </c>
      <c r="I40" s="19">
        <v>35935.199999999997</v>
      </c>
      <c r="J40" s="19">
        <v>62047.199999999997</v>
      </c>
      <c r="K40" s="19">
        <v>105794.4</v>
      </c>
      <c r="L40" s="19">
        <v>95124</v>
      </c>
      <c r="M40" s="19">
        <v>29112</v>
      </c>
      <c r="O40" s="9"/>
    </row>
    <row r="41" spans="1:15" ht="16.5" customHeight="1">
      <c r="A41" s="9"/>
      <c r="C41" s="18" t="s">
        <v>48</v>
      </c>
      <c r="D41" s="19">
        <v>45535</v>
      </c>
      <c r="E41" s="19">
        <v>60137.760000000002</v>
      </c>
      <c r="F41" s="19">
        <v>93081.600000000006</v>
      </c>
      <c r="G41" s="19">
        <v>70740.960000000006</v>
      </c>
      <c r="H41" s="19">
        <v>67760.800000000003</v>
      </c>
      <c r="I41" s="19">
        <v>101132.4</v>
      </c>
      <c r="J41" s="19">
        <v>78531</v>
      </c>
      <c r="K41" s="19">
        <v>79072</v>
      </c>
      <c r="L41" s="19">
        <v>94129.600000000006</v>
      </c>
      <c r="M41" s="19">
        <v>23659.200000000001</v>
      </c>
      <c r="O41" s="9"/>
    </row>
    <row r="42" spans="1:15" ht="16.5" customHeight="1">
      <c r="A42" s="9"/>
      <c r="C42" s="18" t="s">
        <v>49</v>
      </c>
      <c r="D42" s="19">
        <v>185323.56</v>
      </c>
      <c r="E42" s="19">
        <v>169613.6</v>
      </c>
      <c r="F42" s="19">
        <v>119347.6</v>
      </c>
      <c r="G42" s="19">
        <v>167119.6</v>
      </c>
      <c r="H42" s="19">
        <v>117363.88</v>
      </c>
      <c r="I42" s="19">
        <v>183693.2</v>
      </c>
      <c r="J42" s="19">
        <v>301141.40000000002</v>
      </c>
      <c r="K42" s="19">
        <v>440855.6</v>
      </c>
      <c r="L42" s="19">
        <v>219637.78</v>
      </c>
      <c r="M42" s="19">
        <v>22112</v>
      </c>
      <c r="O42" s="9"/>
    </row>
    <row r="43" spans="1:15" ht="16.5" customHeight="1">
      <c r="A43" s="9"/>
      <c r="C43" s="18" t="s">
        <v>50</v>
      </c>
      <c r="D43" s="19">
        <v>132537.60000000001</v>
      </c>
      <c r="E43" s="19">
        <v>162462</v>
      </c>
      <c r="F43" s="19">
        <v>101886</v>
      </c>
      <c r="G43" s="19">
        <v>120482.4</v>
      </c>
      <c r="H43" s="19">
        <v>86382</v>
      </c>
      <c r="I43" s="19">
        <v>122589.6</v>
      </c>
      <c r="J43" s="19">
        <v>643955.51</v>
      </c>
      <c r="K43" s="19">
        <v>256153.84</v>
      </c>
      <c r="L43" s="19">
        <v>111499.8</v>
      </c>
      <c r="M43" s="19">
        <v>21000</v>
      </c>
      <c r="O43" s="9"/>
    </row>
    <row r="44" spans="1:15" ht="16.5" customHeight="1">
      <c r="A44" s="9"/>
      <c r="C44" s="18" t="s">
        <v>51</v>
      </c>
      <c r="D44" s="19">
        <v>29430</v>
      </c>
      <c r="E44" s="19">
        <v>40890.6</v>
      </c>
      <c r="F44" s="19">
        <v>43074</v>
      </c>
      <c r="G44" s="19">
        <v>50710</v>
      </c>
      <c r="H44" s="19">
        <v>41799.599999999999</v>
      </c>
      <c r="I44" s="19">
        <v>43708.2</v>
      </c>
      <c r="J44" s="19">
        <v>40475.4</v>
      </c>
      <c r="K44" s="19">
        <v>49886.2</v>
      </c>
      <c r="L44" s="19">
        <v>117645</v>
      </c>
      <c r="M44" s="19">
        <v>20683.2</v>
      </c>
      <c r="O44" s="9"/>
    </row>
    <row r="45" spans="1:15" ht="16.5" customHeight="1">
      <c r="A45" s="9"/>
      <c r="C45" s="18" t="s">
        <v>52</v>
      </c>
      <c r="D45" s="19">
        <v>1642900</v>
      </c>
      <c r="E45" s="19">
        <v>2385250</v>
      </c>
      <c r="F45" s="19">
        <v>636590</v>
      </c>
      <c r="G45" s="19">
        <v>111780</v>
      </c>
      <c r="H45" s="19">
        <v>152250</v>
      </c>
      <c r="I45" s="19">
        <v>110480</v>
      </c>
      <c r="J45" s="19">
        <v>185350</v>
      </c>
      <c r="K45" s="19">
        <v>171300</v>
      </c>
      <c r="L45" s="19">
        <v>73500</v>
      </c>
      <c r="M45" s="19">
        <v>20240</v>
      </c>
      <c r="O45" s="9"/>
    </row>
    <row r="46" spans="1:15" ht="16.5" customHeight="1">
      <c r="A46" s="9"/>
      <c r="C46" s="18" t="s">
        <v>53</v>
      </c>
      <c r="D46" s="19">
        <v>203896.95999999999</v>
      </c>
      <c r="E46" s="19">
        <v>226664.4</v>
      </c>
      <c r="F46" s="19">
        <v>152422.79999999999</v>
      </c>
      <c r="G46" s="19">
        <v>189442</v>
      </c>
      <c r="H46" s="19">
        <v>240129.1</v>
      </c>
      <c r="I46" s="19">
        <v>148732.4</v>
      </c>
      <c r="J46" s="19">
        <v>169475.6</v>
      </c>
      <c r="K46" s="19">
        <v>80954.899999999994</v>
      </c>
      <c r="L46" s="19">
        <v>117729.4</v>
      </c>
      <c r="M46" s="19">
        <v>18255.36</v>
      </c>
      <c r="O46" s="9"/>
    </row>
    <row r="47" spans="1:15" ht="16.5" customHeight="1">
      <c r="A47" s="9"/>
      <c r="C47" s="18" t="s">
        <v>54</v>
      </c>
      <c r="D47" s="19">
        <v>120960</v>
      </c>
      <c r="E47" s="19">
        <v>180480</v>
      </c>
      <c r="F47" s="19">
        <v>69120</v>
      </c>
      <c r="G47" s="19">
        <v>83160</v>
      </c>
      <c r="H47" s="19">
        <v>117012</v>
      </c>
      <c r="I47" s="19">
        <v>116640</v>
      </c>
      <c r="J47" s="19">
        <v>92100</v>
      </c>
      <c r="K47" s="19">
        <v>117120</v>
      </c>
      <c r="L47" s="19">
        <v>97694</v>
      </c>
      <c r="M47" s="19">
        <v>17280</v>
      </c>
      <c r="O47" s="9"/>
    </row>
    <row r="48" spans="1:15" ht="16.5" customHeight="1">
      <c r="A48" s="9"/>
      <c r="C48" s="18" t="s">
        <v>55</v>
      </c>
      <c r="D48" s="19">
        <v>80350</v>
      </c>
      <c r="E48" s="19">
        <v>149953.20000000001</v>
      </c>
      <c r="F48" s="19">
        <v>129595</v>
      </c>
      <c r="G48" s="19">
        <v>122400</v>
      </c>
      <c r="H48" s="19">
        <v>151200</v>
      </c>
      <c r="I48" s="19">
        <v>143280</v>
      </c>
      <c r="J48" s="19">
        <v>103680</v>
      </c>
      <c r="K48" s="19">
        <v>138240</v>
      </c>
      <c r="L48" s="19">
        <v>69120</v>
      </c>
      <c r="M48" s="19">
        <v>17280</v>
      </c>
      <c r="O48" s="9"/>
    </row>
    <row r="49" spans="1:15" ht="16.5" customHeight="1">
      <c r="A49" s="9"/>
      <c r="C49" s="18" t="s">
        <v>56</v>
      </c>
      <c r="D49" s="19">
        <v>13440</v>
      </c>
      <c r="E49" s="19">
        <v>29790</v>
      </c>
      <c r="F49" s="19"/>
      <c r="G49" s="19">
        <v>285600</v>
      </c>
      <c r="H49" s="19">
        <v>1047360</v>
      </c>
      <c r="I49" s="19">
        <v>933840</v>
      </c>
      <c r="J49" s="19">
        <v>826560</v>
      </c>
      <c r="K49" s="19">
        <v>163680</v>
      </c>
      <c r="L49" s="19">
        <v>127060</v>
      </c>
      <c r="M49" s="19">
        <v>14400</v>
      </c>
      <c r="O49" s="9"/>
    </row>
    <row r="50" spans="1:15" ht="16.5" customHeight="1">
      <c r="A50" s="9"/>
      <c r="C50" s="18" t="s">
        <v>57</v>
      </c>
      <c r="D50" s="19">
        <v>400146.88</v>
      </c>
      <c r="E50" s="19">
        <v>394140.24</v>
      </c>
      <c r="F50" s="19">
        <v>473389.7</v>
      </c>
      <c r="G50" s="19">
        <v>416826.8</v>
      </c>
      <c r="H50" s="19">
        <v>502263</v>
      </c>
      <c r="I50" s="19">
        <v>228451.20000000001</v>
      </c>
      <c r="J50" s="19">
        <v>53814.720000000001</v>
      </c>
      <c r="K50" s="19">
        <v>49292.94</v>
      </c>
      <c r="L50" s="19">
        <v>180407.04000000001</v>
      </c>
      <c r="M50" s="19">
        <v>13242.24</v>
      </c>
      <c r="O50" s="9"/>
    </row>
    <row r="51" spans="1:15" ht="16.5" customHeight="1">
      <c r="A51" s="9"/>
      <c r="C51" s="18" t="s">
        <v>58</v>
      </c>
      <c r="D51" s="19">
        <v>48976.800000000003</v>
      </c>
      <c r="E51" s="19">
        <v>150601.20000000001</v>
      </c>
      <c r="F51" s="19">
        <v>175857.6</v>
      </c>
      <c r="G51" s="19">
        <v>213127.2</v>
      </c>
      <c r="H51" s="19">
        <v>109269.6</v>
      </c>
      <c r="I51" s="19">
        <v>312966</v>
      </c>
      <c r="J51" s="19">
        <v>18325.2</v>
      </c>
      <c r="K51" s="19">
        <v>58344</v>
      </c>
      <c r="L51" s="19">
        <v>76171.199999999997</v>
      </c>
      <c r="M51" s="19">
        <v>11035.2</v>
      </c>
      <c r="O51" s="9"/>
    </row>
    <row r="52" spans="1:15" ht="16.5" customHeight="1">
      <c r="A52" s="9"/>
      <c r="C52" s="18" t="s">
        <v>59</v>
      </c>
      <c r="D52" s="19">
        <v>460920</v>
      </c>
      <c r="E52" s="19">
        <v>487600</v>
      </c>
      <c r="F52" s="19">
        <v>421130</v>
      </c>
      <c r="G52" s="19">
        <v>405720</v>
      </c>
      <c r="H52" s="19">
        <v>463750</v>
      </c>
      <c r="I52" s="19">
        <v>1380230</v>
      </c>
      <c r="J52" s="19">
        <v>1004796.6</v>
      </c>
      <c r="K52" s="19">
        <v>674669.8</v>
      </c>
      <c r="L52" s="19">
        <v>694329.6</v>
      </c>
      <c r="M52" s="19">
        <v>9660</v>
      </c>
      <c r="O52" s="9"/>
    </row>
    <row r="53" spans="1:15" ht="16.5" customHeight="1">
      <c r="A53" s="9"/>
      <c r="C53" s="18" t="s">
        <v>60</v>
      </c>
      <c r="D53" s="19">
        <v>34955.599999999999</v>
      </c>
      <c r="E53" s="19">
        <v>248865.6</v>
      </c>
      <c r="F53" s="19">
        <v>136488</v>
      </c>
      <c r="G53" s="19">
        <v>83966.6</v>
      </c>
      <c r="H53" s="19">
        <v>130864.8</v>
      </c>
      <c r="I53" s="19">
        <v>213689.2</v>
      </c>
      <c r="J53" s="19">
        <v>288856.8</v>
      </c>
      <c r="K53" s="19">
        <v>267453.09999999998</v>
      </c>
      <c r="L53" s="19">
        <v>258159.84</v>
      </c>
      <c r="M53" s="19">
        <v>8712</v>
      </c>
      <c r="O53" s="9"/>
    </row>
    <row r="54" spans="1:15" ht="16.5" customHeight="1">
      <c r="A54" s="9"/>
      <c r="C54" s="18" t="s">
        <v>61</v>
      </c>
      <c r="D54" s="19"/>
      <c r="E54" s="19"/>
      <c r="F54" s="19"/>
      <c r="G54" s="19"/>
      <c r="H54" s="19"/>
      <c r="I54" s="19"/>
      <c r="J54" s="19"/>
      <c r="K54" s="19"/>
      <c r="L54" s="19">
        <v>5880</v>
      </c>
      <c r="M54" s="19">
        <v>7350</v>
      </c>
      <c r="O54" s="9"/>
    </row>
    <row r="55" spans="1:15" ht="16.5" customHeight="1">
      <c r="A55" s="9"/>
      <c r="C55" s="18" t="s">
        <v>62</v>
      </c>
      <c r="D55" s="19">
        <v>820244</v>
      </c>
      <c r="E55" s="19">
        <v>669805.62699999998</v>
      </c>
      <c r="F55" s="19">
        <v>662477.67099999997</v>
      </c>
      <c r="G55" s="19">
        <v>627243.99699999997</v>
      </c>
      <c r="H55" s="19">
        <v>657949.06499999994</v>
      </c>
      <c r="I55" s="19">
        <v>664136.89199999999</v>
      </c>
      <c r="J55" s="19">
        <v>626839.24479999999</v>
      </c>
      <c r="K55" s="19">
        <v>810883.08200000005</v>
      </c>
      <c r="L55" s="19">
        <v>474272.158</v>
      </c>
      <c r="M55" s="19">
        <v>6864</v>
      </c>
      <c r="O55" s="9"/>
    </row>
    <row r="56" spans="1:15" ht="16.5" customHeight="1">
      <c r="A56" s="9"/>
      <c r="C56" s="18" t="s">
        <v>63</v>
      </c>
      <c r="D56" s="19">
        <v>138380</v>
      </c>
      <c r="E56" s="19">
        <v>109580</v>
      </c>
      <c r="F56" s="19">
        <v>112490.4</v>
      </c>
      <c r="G56" s="19">
        <v>118786</v>
      </c>
      <c r="H56" s="19">
        <v>213180.79999999999</v>
      </c>
      <c r="I56" s="19">
        <v>277266</v>
      </c>
      <c r="J56" s="19">
        <v>151952</v>
      </c>
      <c r="K56" s="19">
        <v>170601.60000000001</v>
      </c>
      <c r="L56" s="19">
        <v>109702.39999999999</v>
      </c>
      <c r="M56" s="19">
        <v>6754</v>
      </c>
      <c r="O56" s="9"/>
    </row>
    <row r="57" spans="1:15" ht="16.5" customHeight="1">
      <c r="A57" s="9"/>
      <c r="C57" s="18" t="s">
        <v>64</v>
      </c>
      <c r="D57" s="19">
        <v>3300</v>
      </c>
      <c r="E57" s="19">
        <v>6084</v>
      </c>
      <c r="F57" s="19">
        <v>37692</v>
      </c>
      <c r="G57" s="19">
        <v>8023.2</v>
      </c>
      <c r="H57" s="19">
        <v>15954</v>
      </c>
      <c r="I57" s="19">
        <v>17160</v>
      </c>
      <c r="J57" s="19">
        <v>18829.2</v>
      </c>
      <c r="K57" s="19"/>
      <c r="L57" s="19">
        <v>170348.83</v>
      </c>
      <c r="M57" s="19">
        <v>5860</v>
      </c>
      <c r="O57" s="9"/>
    </row>
    <row r="58" spans="1:15" ht="16.5" customHeight="1">
      <c r="A58" s="9"/>
      <c r="C58" s="18" t="s">
        <v>65</v>
      </c>
      <c r="D58" s="19">
        <v>99729.600000000006</v>
      </c>
      <c r="E58" s="19">
        <v>91827.6</v>
      </c>
      <c r="F58" s="19">
        <v>85566</v>
      </c>
      <c r="G58" s="19">
        <v>106743.6</v>
      </c>
      <c r="H58" s="19">
        <v>99254.399999999994</v>
      </c>
      <c r="I58" s="19">
        <v>56263.199999999997</v>
      </c>
      <c r="J58" s="19">
        <v>87547.199999999997</v>
      </c>
      <c r="K58" s="19">
        <v>90579.6</v>
      </c>
      <c r="L58" s="19">
        <v>65736.72</v>
      </c>
      <c r="M58" s="19">
        <v>5808</v>
      </c>
      <c r="O58" s="9"/>
    </row>
    <row r="59" spans="1:15" ht="16.5" customHeight="1">
      <c r="A59" s="9"/>
      <c r="C59" s="18" t="s">
        <v>66</v>
      </c>
      <c r="D59" s="19">
        <v>63095.040000000001</v>
      </c>
      <c r="E59" s="19">
        <v>139566.6</v>
      </c>
      <c r="F59" s="19">
        <v>48431.88</v>
      </c>
      <c r="G59" s="19">
        <v>83886.6</v>
      </c>
      <c r="H59" s="19">
        <v>89783.76</v>
      </c>
      <c r="I59" s="19">
        <v>126814.8</v>
      </c>
      <c r="J59" s="19">
        <v>117661.92</v>
      </c>
      <c r="K59" s="19">
        <v>84856.68</v>
      </c>
      <c r="L59" s="19">
        <v>148921.79999999999</v>
      </c>
      <c r="M59" s="19">
        <v>5760</v>
      </c>
      <c r="O59" s="9"/>
    </row>
    <row r="60" spans="1:15" ht="16.5" customHeight="1">
      <c r="A60" s="9"/>
      <c r="C60" s="18" t="s">
        <v>67</v>
      </c>
      <c r="D60" s="19">
        <v>199729.2</v>
      </c>
      <c r="E60" s="19">
        <v>221657.61</v>
      </c>
      <c r="F60" s="19">
        <v>213798</v>
      </c>
      <c r="G60" s="19">
        <v>232986</v>
      </c>
      <c r="H60" s="19">
        <v>228600</v>
      </c>
      <c r="I60" s="19">
        <v>26499.599999999999</v>
      </c>
      <c r="J60" s="19">
        <v>3990</v>
      </c>
      <c r="K60" s="19">
        <v>4879.2</v>
      </c>
      <c r="L60" s="19">
        <v>5358</v>
      </c>
      <c r="M60" s="19">
        <v>4815.3599999999997</v>
      </c>
      <c r="O60" s="9"/>
    </row>
    <row r="61" spans="1:15" ht="16.5" customHeight="1">
      <c r="A61" s="9"/>
      <c r="C61" s="18" t="s">
        <v>68</v>
      </c>
      <c r="D61" s="19">
        <v>337949.96</v>
      </c>
      <c r="E61" s="19">
        <v>255526.2</v>
      </c>
      <c r="F61" s="19">
        <v>232135.6</v>
      </c>
      <c r="G61" s="19">
        <v>249363.8</v>
      </c>
      <c r="H61" s="19">
        <v>196800.8</v>
      </c>
      <c r="I61" s="19">
        <v>219506.76</v>
      </c>
      <c r="J61" s="19">
        <v>261264.4</v>
      </c>
      <c r="K61" s="19">
        <v>202807</v>
      </c>
      <c r="L61" s="19">
        <v>173085</v>
      </c>
      <c r="M61" s="19">
        <v>2808</v>
      </c>
      <c r="O61" s="9"/>
    </row>
    <row r="62" spans="1:15" ht="16.5" customHeight="1">
      <c r="A62" s="9"/>
      <c r="C62" s="18" t="s">
        <v>69</v>
      </c>
      <c r="D62" s="19">
        <v>2416.8000000000002</v>
      </c>
      <c r="E62" s="19">
        <v>2416.8000000000002</v>
      </c>
      <c r="F62" s="19">
        <v>4970.3999999999996</v>
      </c>
      <c r="G62" s="19">
        <v>2640</v>
      </c>
      <c r="H62" s="19">
        <v>2156.4</v>
      </c>
      <c r="I62" s="19"/>
      <c r="J62" s="19"/>
      <c r="K62" s="19"/>
      <c r="L62" s="19">
        <v>2684.4</v>
      </c>
      <c r="M62" s="19">
        <v>2684.4</v>
      </c>
      <c r="O62" s="9"/>
    </row>
    <row r="63" spans="1:15" ht="16.5" customHeight="1">
      <c r="A63" s="9"/>
      <c r="C63" s="18" t="s">
        <v>70</v>
      </c>
      <c r="D63" s="19">
        <v>87160.320000000007</v>
      </c>
      <c r="E63" s="19">
        <v>101655.6</v>
      </c>
      <c r="F63" s="19">
        <v>89067.6</v>
      </c>
      <c r="G63" s="19">
        <v>95726.399999999994</v>
      </c>
      <c r="H63" s="19">
        <v>109856.4</v>
      </c>
      <c r="I63" s="19">
        <v>61063.53</v>
      </c>
      <c r="J63" s="19">
        <v>43096.800000000003</v>
      </c>
      <c r="K63" s="19">
        <v>25764.6</v>
      </c>
      <c r="L63" s="19">
        <v>54961.7</v>
      </c>
      <c r="M63" s="19">
        <v>2407.6799999999998</v>
      </c>
      <c r="O63" s="9"/>
    </row>
    <row r="64" spans="1:15" ht="16.5" customHeight="1">
      <c r="A64" s="9"/>
      <c r="C64" s="18" t="s">
        <v>71</v>
      </c>
      <c r="D64" s="19">
        <v>72448</v>
      </c>
      <c r="E64" s="19">
        <v>73980.399999999994</v>
      </c>
      <c r="F64" s="19">
        <v>50120</v>
      </c>
      <c r="G64" s="19">
        <v>47591.199999999997</v>
      </c>
      <c r="H64" s="19">
        <v>63188.160000000003</v>
      </c>
      <c r="I64" s="19">
        <v>55086</v>
      </c>
      <c r="J64" s="19">
        <v>66978</v>
      </c>
      <c r="K64" s="19">
        <v>143178</v>
      </c>
      <c r="L64" s="19">
        <v>144899</v>
      </c>
      <c r="M64" s="19">
        <v>2400</v>
      </c>
      <c r="O64" s="9"/>
    </row>
    <row r="65" spans="1:15" ht="16.5" customHeight="1">
      <c r="A65" s="9"/>
      <c r="C65" s="18" t="s">
        <v>72</v>
      </c>
      <c r="D65" s="19"/>
      <c r="E65" s="19">
        <v>1603.2</v>
      </c>
      <c r="F65" s="19">
        <v>5680.8</v>
      </c>
      <c r="G65" s="19">
        <v>5523.6</v>
      </c>
      <c r="H65" s="19">
        <v>4983.6000000000004</v>
      </c>
      <c r="I65" s="19">
        <v>9892.2000000000007</v>
      </c>
      <c r="J65" s="19">
        <v>15428.4</v>
      </c>
      <c r="K65" s="19">
        <v>18186</v>
      </c>
      <c r="L65" s="19">
        <v>13889.4</v>
      </c>
      <c r="M65" s="19">
        <v>2347.1999999999998</v>
      </c>
      <c r="O65" s="9"/>
    </row>
    <row r="66" spans="1:15" ht="16.5" customHeight="1">
      <c r="A66" s="9"/>
      <c r="C66" s="18" t="s">
        <v>73</v>
      </c>
      <c r="D66" s="19">
        <v>365476.88</v>
      </c>
      <c r="E66" s="19">
        <v>778414.52</v>
      </c>
      <c r="F66" s="19">
        <v>524540.4</v>
      </c>
      <c r="G66" s="19">
        <v>505231.6</v>
      </c>
      <c r="H66" s="19">
        <v>707095.6</v>
      </c>
      <c r="I66" s="19">
        <v>637030.19999999995</v>
      </c>
      <c r="J66" s="19">
        <v>703532.2</v>
      </c>
      <c r="K66" s="19">
        <v>654303.84</v>
      </c>
      <c r="L66" s="19">
        <v>693448.8</v>
      </c>
      <c r="M66" s="19">
        <v>2188.8000000000002</v>
      </c>
      <c r="O66" s="9"/>
    </row>
    <row r="67" spans="1:15" ht="16.5" customHeight="1">
      <c r="A67" s="9"/>
      <c r="C67" s="18" t="s">
        <v>74</v>
      </c>
      <c r="D67" s="19">
        <v>182683.2</v>
      </c>
      <c r="E67" s="19">
        <v>136675.20000000001</v>
      </c>
      <c r="F67" s="19">
        <v>169682.4</v>
      </c>
      <c r="G67" s="19">
        <v>207332.4</v>
      </c>
      <c r="H67" s="19">
        <v>183064.8</v>
      </c>
      <c r="I67" s="19">
        <v>149574</v>
      </c>
      <c r="J67" s="19">
        <v>113762.4</v>
      </c>
      <c r="K67" s="19">
        <v>127404.4</v>
      </c>
      <c r="L67" s="19">
        <v>93448.8</v>
      </c>
      <c r="M67" s="19">
        <v>1790.4</v>
      </c>
      <c r="O67" s="9"/>
    </row>
    <row r="68" spans="1:15" ht="16.5" customHeight="1">
      <c r="A68" s="9"/>
      <c r="C68" s="18" t="s">
        <v>100</v>
      </c>
      <c r="D68" s="19">
        <v>176853</v>
      </c>
      <c r="E68" s="19">
        <v>134748</v>
      </c>
      <c r="F68" s="19">
        <v>175263.6</v>
      </c>
      <c r="G68" s="19">
        <v>113738.4</v>
      </c>
      <c r="H68" s="19">
        <v>166765.79999999999</v>
      </c>
      <c r="I68" s="19">
        <v>59584.800000000003</v>
      </c>
      <c r="J68" s="19"/>
      <c r="K68" s="19"/>
      <c r="L68" s="19">
        <v>7368</v>
      </c>
      <c r="M68" s="19"/>
      <c r="O68" s="9"/>
    </row>
    <row r="69" spans="1:15" ht="16.5" customHeight="1">
      <c r="A69" s="9"/>
      <c r="C69" s="18" t="s">
        <v>101</v>
      </c>
      <c r="D69" s="19">
        <v>19362</v>
      </c>
      <c r="E69" s="19">
        <v>18313.2</v>
      </c>
      <c r="F69" s="19">
        <v>8820</v>
      </c>
      <c r="G69" s="19"/>
      <c r="H69" s="19">
        <v>11856</v>
      </c>
      <c r="I69" s="19">
        <v>11064</v>
      </c>
      <c r="J69" s="19"/>
      <c r="K69" s="19"/>
      <c r="L69" s="19"/>
      <c r="M69" s="19"/>
      <c r="O69" s="9"/>
    </row>
    <row r="70" spans="1:15" ht="16.5" customHeight="1">
      <c r="A70" s="9"/>
      <c r="C70" s="18" t="s">
        <v>102</v>
      </c>
      <c r="D70" s="19">
        <v>65472</v>
      </c>
      <c r="E70" s="19">
        <v>47520</v>
      </c>
      <c r="F70" s="19">
        <v>95040</v>
      </c>
      <c r="G70" s="19">
        <v>50400</v>
      </c>
      <c r="H70" s="19">
        <v>51840</v>
      </c>
      <c r="I70" s="19">
        <v>51840</v>
      </c>
      <c r="J70" s="19">
        <v>34560</v>
      </c>
      <c r="K70" s="19"/>
      <c r="L70" s="19"/>
      <c r="M70" s="19"/>
      <c r="O70" s="9"/>
    </row>
    <row r="71" spans="1:15" ht="16.5" customHeight="1">
      <c r="A71" s="9"/>
      <c r="C71" s="18" t="s">
        <v>103</v>
      </c>
      <c r="D71" s="19"/>
      <c r="E71" s="19">
        <v>14020</v>
      </c>
      <c r="F71" s="19"/>
      <c r="G71" s="19"/>
      <c r="H71" s="19"/>
      <c r="I71" s="19"/>
      <c r="J71" s="19">
        <v>5760</v>
      </c>
      <c r="K71" s="19"/>
      <c r="L71" s="19"/>
      <c r="M71" s="19"/>
      <c r="O71" s="9"/>
    </row>
    <row r="72" spans="1:15" ht="16.5" customHeight="1">
      <c r="A72" s="9"/>
      <c r="C72" s="18" t="s">
        <v>104</v>
      </c>
      <c r="D72" s="19">
        <v>143550</v>
      </c>
      <c r="E72" s="19">
        <v>500745</v>
      </c>
      <c r="F72" s="19">
        <v>658110</v>
      </c>
      <c r="G72" s="19">
        <v>685440</v>
      </c>
      <c r="H72" s="19">
        <v>917654.4</v>
      </c>
      <c r="I72" s="19">
        <v>44678.400000000001</v>
      </c>
      <c r="J72" s="19">
        <v>52272</v>
      </c>
      <c r="K72" s="19">
        <v>213870</v>
      </c>
      <c r="L72" s="19">
        <v>51195</v>
      </c>
      <c r="M72" s="19"/>
      <c r="O72" s="9"/>
    </row>
    <row r="73" spans="1:15" ht="16.5" customHeight="1">
      <c r="A73" s="9"/>
      <c r="C73" s="18" t="s">
        <v>105</v>
      </c>
      <c r="D73" s="19">
        <v>39510</v>
      </c>
      <c r="E73" s="19">
        <v>15804</v>
      </c>
      <c r="F73" s="19"/>
      <c r="G73" s="19"/>
      <c r="H73" s="19"/>
      <c r="I73" s="19"/>
      <c r="J73" s="19"/>
      <c r="K73" s="19"/>
      <c r="L73" s="19"/>
      <c r="M73" s="19"/>
      <c r="O73" s="9"/>
    </row>
    <row r="74" spans="1:15" ht="16.5" customHeight="1">
      <c r="A74" s="9"/>
      <c r="C74" s="18" t="s">
        <v>106</v>
      </c>
      <c r="D74" s="19">
        <v>6912</v>
      </c>
      <c r="E74" s="19"/>
      <c r="F74" s="19"/>
      <c r="G74" s="19"/>
      <c r="H74" s="19"/>
      <c r="I74" s="19"/>
      <c r="J74" s="19"/>
      <c r="K74" s="19"/>
      <c r="L74" s="19"/>
      <c r="M74" s="19"/>
      <c r="O74" s="9"/>
    </row>
    <row r="75" spans="1:15" ht="16.5" customHeight="1">
      <c r="A75" s="9"/>
      <c r="C75" s="18" t="s">
        <v>107</v>
      </c>
      <c r="D75" s="19"/>
      <c r="E75" s="19"/>
      <c r="F75" s="19"/>
      <c r="G75" s="19">
        <v>84</v>
      </c>
      <c r="H75" s="19">
        <v>120</v>
      </c>
      <c r="I75" s="19"/>
      <c r="J75" s="19"/>
      <c r="K75" s="19"/>
      <c r="L75" s="19"/>
      <c r="M75" s="19"/>
      <c r="O75" s="9"/>
    </row>
    <row r="76" spans="1:15" ht="16.5" customHeight="1">
      <c r="A76" s="9"/>
      <c r="C76" s="18" t="s">
        <v>108</v>
      </c>
      <c r="D76" s="19">
        <v>7348</v>
      </c>
      <c r="E76" s="19">
        <v>15585.6</v>
      </c>
      <c r="F76" s="19">
        <v>8464.7999999999993</v>
      </c>
      <c r="G76" s="19">
        <v>6984</v>
      </c>
      <c r="H76" s="19">
        <v>7012.8</v>
      </c>
      <c r="I76" s="19">
        <v>7152</v>
      </c>
      <c r="J76" s="19">
        <v>7824</v>
      </c>
      <c r="K76" s="19"/>
      <c r="L76" s="19"/>
      <c r="M76" s="19"/>
      <c r="O76" s="9"/>
    </row>
    <row r="77" spans="1:15" ht="16.5" customHeight="1">
      <c r="A77" s="9"/>
      <c r="C77" s="18" t="s">
        <v>75</v>
      </c>
      <c r="D77" s="19">
        <v>214123.68</v>
      </c>
      <c r="E77" s="19">
        <v>224959.2</v>
      </c>
      <c r="F77" s="19">
        <v>250370.4</v>
      </c>
      <c r="G77" s="19">
        <v>280171.2</v>
      </c>
      <c r="H77" s="19">
        <v>259333.2</v>
      </c>
      <c r="I77" s="19">
        <v>66557.100000000006</v>
      </c>
      <c r="J77" s="19">
        <v>14455.2</v>
      </c>
      <c r="K77" s="19">
        <v>39234.400000000001</v>
      </c>
      <c r="L77" s="19">
        <v>59110.14</v>
      </c>
      <c r="M77" s="19"/>
      <c r="O77" s="9"/>
    </row>
    <row r="78" spans="1:15" ht="16.5" customHeight="1">
      <c r="A78" s="9"/>
      <c r="C78" s="18" t="s">
        <v>76</v>
      </c>
      <c r="D78" s="19">
        <v>513240</v>
      </c>
      <c r="E78" s="19">
        <v>715600</v>
      </c>
      <c r="F78" s="19">
        <v>384816</v>
      </c>
      <c r="G78" s="19">
        <v>497478</v>
      </c>
      <c r="H78" s="19">
        <v>922978</v>
      </c>
      <c r="I78" s="19">
        <v>1685534.504</v>
      </c>
      <c r="J78" s="19">
        <v>1931622.03</v>
      </c>
      <c r="K78" s="19">
        <v>1991168</v>
      </c>
      <c r="L78" s="19">
        <v>1594497.2</v>
      </c>
      <c r="M78" s="19"/>
      <c r="O78" s="9"/>
    </row>
    <row r="79" spans="1:15" ht="16.5" customHeight="1">
      <c r="A79" s="9"/>
      <c r="C79" s="18" t="s">
        <v>77</v>
      </c>
      <c r="D79" s="19">
        <v>6169.2</v>
      </c>
      <c r="E79" s="19">
        <v>14707.2</v>
      </c>
      <c r="F79" s="19">
        <v>5556</v>
      </c>
      <c r="G79" s="19">
        <v>5856</v>
      </c>
      <c r="H79" s="19">
        <v>6516</v>
      </c>
      <c r="I79" s="19">
        <v>2666.4</v>
      </c>
      <c r="J79" s="19">
        <v>2215.1999999999998</v>
      </c>
      <c r="K79" s="19">
        <v>4898.3999999999996</v>
      </c>
      <c r="L79" s="19">
        <v>2293.1999999999998</v>
      </c>
      <c r="M79" s="19"/>
      <c r="O79" s="9"/>
    </row>
    <row r="80" spans="1:15" ht="16.5" customHeight="1">
      <c r="A80" s="9"/>
      <c r="C80" s="18" t="s">
        <v>109</v>
      </c>
      <c r="D80" s="19">
        <v>9591.6</v>
      </c>
      <c r="E80" s="19">
        <v>7350</v>
      </c>
      <c r="F80" s="19"/>
      <c r="G80" s="19"/>
      <c r="H80" s="19">
        <v>5112</v>
      </c>
      <c r="I80" s="19"/>
      <c r="J80" s="19">
        <v>4405.2</v>
      </c>
      <c r="K80" s="19"/>
      <c r="L80" s="19"/>
      <c r="M80" s="19"/>
      <c r="O80" s="9"/>
    </row>
    <row r="81" spans="1:15" ht="16.5" customHeight="1">
      <c r="A81" s="9"/>
      <c r="C81" s="18" t="s">
        <v>110</v>
      </c>
      <c r="D81" s="19">
        <v>17133.599999999999</v>
      </c>
      <c r="E81" s="19">
        <v>9896.4</v>
      </c>
      <c r="F81" s="19">
        <v>5836.8</v>
      </c>
      <c r="G81" s="19">
        <v>5374.8</v>
      </c>
      <c r="H81" s="19">
        <v>10237.799999999999</v>
      </c>
      <c r="I81" s="19">
        <v>13062</v>
      </c>
      <c r="J81" s="19"/>
      <c r="K81" s="19"/>
      <c r="L81" s="19"/>
      <c r="M81" s="19"/>
      <c r="O81" s="9"/>
    </row>
    <row r="82" spans="1:15" ht="16.5" customHeight="1">
      <c r="A82" s="9"/>
      <c r="C82" s="18" t="s">
        <v>78</v>
      </c>
      <c r="D82" s="19">
        <v>8824.58</v>
      </c>
      <c r="E82" s="19">
        <v>28495.200000000001</v>
      </c>
      <c r="F82" s="19">
        <v>31688</v>
      </c>
      <c r="G82" s="19">
        <v>15469.2</v>
      </c>
      <c r="H82" s="19">
        <v>13409.2</v>
      </c>
      <c r="I82" s="19">
        <v>7201.6</v>
      </c>
      <c r="J82" s="19">
        <v>14803.2</v>
      </c>
      <c r="K82" s="19">
        <v>7401.6</v>
      </c>
      <c r="L82" s="19"/>
      <c r="M82" s="19"/>
      <c r="O82" s="9"/>
    </row>
    <row r="83" spans="1:15" ht="16.5" customHeight="1">
      <c r="A83" s="9"/>
      <c r="C83" s="18" t="s">
        <v>79</v>
      </c>
      <c r="D83" s="19">
        <v>6292.8</v>
      </c>
      <c r="E83" s="19">
        <v>18878.400000000001</v>
      </c>
      <c r="F83" s="19">
        <v>10938</v>
      </c>
      <c r="G83" s="19">
        <v>16164</v>
      </c>
      <c r="H83" s="19">
        <v>17114.400000000001</v>
      </c>
      <c r="I83" s="19">
        <v>20445.599999999999</v>
      </c>
      <c r="J83" s="19">
        <v>15303.6</v>
      </c>
      <c r="K83" s="19">
        <v>10473.6</v>
      </c>
      <c r="L83" s="19">
        <v>8550</v>
      </c>
      <c r="M83" s="19"/>
      <c r="O83" s="9"/>
    </row>
    <row r="84" spans="1:15" ht="16.5" customHeight="1">
      <c r="A84" s="9"/>
      <c r="C84" s="18" t="s">
        <v>111</v>
      </c>
      <c r="D84" s="19"/>
      <c r="E84" s="19">
        <v>75888</v>
      </c>
      <c r="F84" s="19">
        <v>13680</v>
      </c>
      <c r="G84" s="19">
        <v>13056</v>
      </c>
      <c r="H84" s="19">
        <v>49044.9</v>
      </c>
      <c r="I84" s="19">
        <v>15816</v>
      </c>
      <c r="J84" s="19">
        <v>13800</v>
      </c>
      <c r="K84" s="19">
        <v>6980</v>
      </c>
      <c r="L84" s="19">
        <v>23420</v>
      </c>
      <c r="M84" s="19"/>
      <c r="O84" s="9"/>
    </row>
    <row r="85" spans="1:15" ht="16.5" customHeight="1">
      <c r="A85" s="9"/>
      <c r="C85" s="18" t="s">
        <v>112</v>
      </c>
      <c r="D85" s="19">
        <v>631524</v>
      </c>
      <c r="E85" s="19">
        <v>568207.19999999995</v>
      </c>
      <c r="F85" s="19">
        <v>357717.6</v>
      </c>
      <c r="G85" s="19">
        <v>250239.9</v>
      </c>
      <c r="H85" s="19">
        <v>222753.6</v>
      </c>
      <c r="I85" s="19">
        <v>73147.199999999997</v>
      </c>
      <c r="J85" s="19">
        <v>6240</v>
      </c>
      <c r="K85" s="19">
        <v>12858</v>
      </c>
      <c r="L85" s="19">
        <v>6480</v>
      </c>
      <c r="M85" s="19"/>
      <c r="O85" s="9"/>
    </row>
    <row r="86" spans="1:15" ht="16.5" customHeight="1">
      <c r="A86" s="9"/>
      <c r="C86" s="18" t="s">
        <v>80</v>
      </c>
      <c r="D86" s="19"/>
      <c r="E86" s="19"/>
      <c r="F86" s="19"/>
      <c r="G86" s="19"/>
      <c r="H86" s="19"/>
      <c r="I86" s="19"/>
      <c r="J86" s="19">
        <v>36150</v>
      </c>
      <c r="K86" s="19">
        <v>83500</v>
      </c>
      <c r="L86" s="19"/>
      <c r="M86" s="19"/>
      <c r="O86" s="9"/>
    </row>
    <row r="87" spans="1:15" ht="16.5" customHeight="1">
      <c r="A87" s="9"/>
      <c r="C87" s="18" t="s">
        <v>113</v>
      </c>
      <c r="D87" s="19"/>
      <c r="E87" s="19"/>
      <c r="F87" s="19"/>
      <c r="G87" s="19"/>
      <c r="H87" s="19"/>
      <c r="I87" s="19"/>
      <c r="J87" s="19"/>
      <c r="K87" s="19">
        <v>18340</v>
      </c>
      <c r="L87" s="19"/>
      <c r="M87" s="19"/>
      <c r="O87" s="9"/>
    </row>
    <row r="88" spans="1:15" ht="16.5" customHeight="1">
      <c r="A88" s="9"/>
      <c r="C88" s="18" t="s">
        <v>114</v>
      </c>
      <c r="D88" s="19"/>
      <c r="E88" s="19">
        <v>6444</v>
      </c>
      <c r="F88" s="19"/>
      <c r="G88" s="19"/>
      <c r="H88" s="19"/>
      <c r="I88" s="19"/>
      <c r="J88" s="19"/>
      <c r="K88" s="19"/>
      <c r="L88" s="19"/>
      <c r="M88" s="19"/>
      <c r="O88" s="9"/>
    </row>
    <row r="89" spans="1:15" ht="16.5" customHeight="1">
      <c r="A89" s="9"/>
      <c r="C89" s="18" t="s">
        <v>81</v>
      </c>
      <c r="D89" s="19">
        <v>5952</v>
      </c>
      <c r="E89" s="19">
        <v>5580</v>
      </c>
      <c r="F89" s="19">
        <v>3240</v>
      </c>
      <c r="G89" s="19">
        <v>5917.2</v>
      </c>
      <c r="H89" s="19">
        <v>4020</v>
      </c>
      <c r="I89" s="19">
        <v>1080</v>
      </c>
      <c r="J89" s="19">
        <v>1260</v>
      </c>
      <c r="K89" s="19">
        <v>5878.8</v>
      </c>
      <c r="L89" s="19">
        <v>14640</v>
      </c>
      <c r="M89" s="19"/>
      <c r="O89" s="9"/>
    </row>
    <row r="90" spans="1:15" ht="16.5" customHeight="1">
      <c r="A90" s="9"/>
      <c r="C90" s="18" t="s">
        <v>115</v>
      </c>
      <c r="D90" s="19">
        <v>14700</v>
      </c>
      <c r="E90" s="19"/>
      <c r="F90" s="19">
        <v>20850</v>
      </c>
      <c r="G90" s="19">
        <v>14700</v>
      </c>
      <c r="H90" s="19"/>
      <c r="I90" s="19"/>
      <c r="J90" s="19"/>
      <c r="K90" s="19"/>
      <c r="L90" s="19"/>
      <c r="M90" s="19"/>
      <c r="O90" s="9"/>
    </row>
    <row r="91" spans="1:15" ht="16.5" customHeight="1">
      <c r="A91" s="9"/>
      <c r="C91" s="18" t="s">
        <v>116</v>
      </c>
      <c r="D91" s="19">
        <v>136680</v>
      </c>
      <c r="E91" s="19">
        <v>81415</v>
      </c>
      <c r="F91" s="19">
        <v>106680</v>
      </c>
      <c r="G91" s="19">
        <v>127089</v>
      </c>
      <c r="H91" s="19">
        <v>147783</v>
      </c>
      <c r="I91" s="19">
        <v>114688.2</v>
      </c>
      <c r="J91" s="19">
        <v>171030</v>
      </c>
      <c r="K91" s="19">
        <v>87110.399999999994</v>
      </c>
      <c r="L91" s="19">
        <v>101502.2</v>
      </c>
      <c r="M91" s="19"/>
      <c r="O91" s="9"/>
    </row>
    <row r="92" spans="1:15" ht="16.5" customHeight="1">
      <c r="A92" s="9"/>
      <c r="C92" s="18" t="s">
        <v>117</v>
      </c>
      <c r="D92" s="19">
        <v>15668.16</v>
      </c>
      <c r="E92" s="19">
        <v>7050</v>
      </c>
      <c r="F92" s="19">
        <v>7596</v>
      </c>
      <c r="G92" s="19"/>
      <c r="H92" s="19">
        <v>7536</v>
      </c>
      <c r="I92" s="19"/>
      <c r="J92" s="19"/>
      <c r="K92" s="19"/>
      <c r="L92" s="19">
        <v>3102</v>
      </c>
      <c r="M92" s="19"/>
      <c r="O92" s="9"/>
    </row>
    <row r="93" spans="1:15" ht="16.5" customHeight="1">
      <c r="A93" s="9"/>
      <c r="C93" s="18" t="s">
        <v>118</v>
      </c>
      <c r="D93" s="19"/>
      <c r="E93" s="19"/>
      <c r="F93" s="19"/>
      <c r="G93" s="19"/>
      <c r="H93" s="19">
        <v>11520</v>
      </c>
      <c r="I93" s="19"/>
      <c r="J93" s="19"/>
      <c r="K93" s="19"/>
      <c r="L93" s="19"/>
      <c r="M93" s="19"/>
      <c r="O93" s="9"/>
    </row>
    <row r="94" spans="1:15" ht="16.5" customHeight="1">
      <c r="A94" s="9"/>
      <c r="C94" s="18" t="s">
        <v>82</v>
      </c>
      <c r="D94" s="19">
        <v>278834.09999999998</v>
      </c>
      <c r="E94" s="19">
        <v>162706.79999999999</v>
      </c>
      <c r="F94" s="19">
        <v>180260.4</v>
      </c>
      <c r="G94" s="19">
        <v>152271.6</v>
      </c>
      <c r="H94" s="19">
        <v>48108</v>
      </c>
      <c r="I94" s="19">
        <v>78718.8</v>
      </c>
      <c r="J94" s="19">
        <v>72259.8</v>
      </c>
      <c r="K94" s="19">
        <v>62668.800000000003</v>
      </c>
      <c r="L94" s="19">
        <v>61433.1</v>
      </c>
      <c r="M94" s="19"/>
      <c r="O94" s="9"/>
    </row>
    <row r="95" spans="1:15" ht="16.5" customHeight="1">
      <c r="A95" s="9"/>
      <c r="C95" s="18" t="s">
        <v>83</v>
      </c>
      <c r="D95" s="19">
        <v>2000</v>
      </c>
      <c r="E95" s="19">
        <v>2000</v>
      </c>
      <c r="F95" s="19"/>
      <c r="G95" s="19">
        <v>37000</v>
      </c>
      <c r="H95" s="19"/>
      <c r="I95" s="19"/>
      <c r="J95" s="19">
        <v>48415.5</v>
      </c>
      <c r="K95" s="19">
        <v>42630</v>
      </c>
      <c r="L95" s="19">
        <v>27930</v>
      </c>
      <c r="M95" s="19"/>
      <c r="O95" s="9"/>
    </row>
    <row r="96" spans="1:15" ht="16.5" customHeight="1">
      <c r="A96" s="9"/>
      <c r="C96" s="18" t="s">
        <v>119</v>
      </c>
      <c r="D96" s="19"/>
      <c r="E96" s="19">
        <v>2640</v>
      </c>
      <c r="F96" s="19"/>
      <c r="G96" s="19"/>
      <c r="H96" s="19"/>
      <c r="I96" s="19">
        <v>2442</v>
      </c>
      <c r="J96" s="19"/>
      <c r="K96" s="19"/>
      <c r="L96" s="19"/>
      <c r="M96" s="19"/>
      <c r="O96" s="9"/>
    </row>
    <row r="97" spans="1:15" ht="16.5" customHeight="1">
      <c r="A97" s="9"/>
      <c r="C97" s="18" t="s">
        <v>84</v>
      </c>
      <c r="D97" s="19">
        <v>8352</v>
      </c>
      <c r="E97" s="19">
        <v>8280</v>
      </c>
      <c r="F97" s="19">
        <v>10344</v>
      </c>
      <c r="G97" s="19"/>
      <c r="H97" s="19">
        <v>16712.400000000001</v>
      </c>
      <c r="I97" s="19">
        <v>20376</v>
      </c>
      <c r="J97" s="19">
        <v>48262.8</v>
      </c>
      <c r="K97" s="19">
        <v>23832</v>
      </c>
      <c r="L97" s="19"/>
      <c r="M97" s="19"/>
      <c r="O97" s="9"/>
    </row>
    <row r="98" spans="1:15" ht="16.5" customHeight="1">
      <c r="A98" s="9"/>
      <c r="C98" s="18" t="s">
        <v>120</v>
      </c>
      <c r="D98" s="19">
        <v>3528</v>
      </c>
      <c r="E98" s="19">
        <v>7128</v>
      </c>
      <c r="F98" s="19">
        <v>7908</v>
      </c>
      <c r="G98" s="19">
        <v>7036.8</v>
      </c>
      <c r="H98" s="19"/>
      <c r="I98" s="19"/>
      <c r="J98" s="19"/>
      <c r="K98" s="19"/>
      <c r="L98" s="19"/>
      <c r="M98" s="19"/>
      <c r="O98" s="9"/>
    </row>
    <row r="99" spans="1:15" ht="16.5" customHeight="1">
      <c r="A99" s="9"/>
      <c r="C99" s="18" t="s">
        <v>121</v>
      </c>
      <c r="D99" s="19">
        <v>6138</v>
      </c>
      <c r="E99" s="19">
        <v>10447.200000000001</v>
      </c>
      <c r="F99" s="19">
        <v>10108.799999999999</v>
      </c>
      <c r="G99" s="19">
        <v>3747.6</v>
      </c>
      <c r="H99" s="19">
        <v>17710.8</v>
      </c>
      <c r="I99" s="19">
        <v>47596.800000000003</v>
      </c>
      <c r="J99" s="19">
        <v>24176.400000000001</v>
      </c>
      <c r="K99" s="19">
        <v>3793.2</v>
      </c>
      <c r="L99" s="19"/>
      <c r="M99" s="19"/>
      <c r="O99" s="9"/>
    </row>
    <row r="100" spans="1:15" ht="16.5" customHeight="1">
      <c r="A100" s="9"/>
      <c r="C100" s="18" t="s">
        <v>122</v>
      </c>
      <c r="D100" s="19"/>
      <c r="E100" s="19">
        <v>4406.3999999999996</v>
      </c>
      <c r="F100" s="19"/>
      <c r="G100" s="19"/>
      <c r="H100" s="19">
        <v>100</v>
      </c>
      <c r="I100" s="19">
        <v>1000</v>
      </c>
      <c r="J100" s="19"/>
      <c r="K100" s="19"/>
      <c r="L100" s="19">
        <v>463680</v>
      </c>
      <c r="M100" s="19"/>
      <c r="O100" s="9"/>
    </row>
    <row r="101" spans="1:15" ht="16.5" customHeight="1">
      <c r="A101" s="9"/>
      <c r="C101" s="18" t="s">
        <v>123</v>
      </c>
      <c r="D101" s="19"/>
      <c r="E101" s="19">
        <v>143286</v>
      </c>
      <c r="F101" s="19">
        <v>96447.6</v>
      </c>
      <c r="G101" s="19">
        <v>66853.2</v>
      </c>
      <c r="H101" s="19"/>
      <c r="I101" s="19"/>
      <c r="J101" s="19">
        <v>16800</v>
      </c>
      <c r="K101" s="19">
        <v>8400</v>
      </c>
      <c r="L101" s="19">
        <v>33200</v>
      </c>
      <c r="M101" s="19"/>
      <c r="O101" s="9"/>
    </row>
    <row r="102" spans="1:15" ht="16.5" customHeight="1">
      <c r="A102" s="9"/>
      <c r="C102" s="18" t="s">
        <v>124</v>
      </c>
      <c r="D102" s="19"/>
      <c r="E102" s="19"/>
      <c r="F102" s="19"/>
      <c r="G102" s="19">
        <v>1728</v>
      </c>
      <c r="H102" s="19">
        <v>1768.8</v>
      </c>
      <c r="I102" s="19">
        <v>295.2</v>
      </c>
      <c r="J102" s="19">
        <v>688.8</v>
      </c>
      <c r="K102" s="19">
        <v>134.4</v>
      </c>
      <c r="L102" s="19"/>
      <c r="M102" s="19"/>
      <c r="O102" s="9"/>
    </row>
    <row r="103" spans="1:15" ht="16.5" customHeight="1">
      <c r="A103" s="9"/>
      <c r="C103" s="18" t="s">
        <v>85</v>
      </c>
      <c r="D103" s="19">
        <v>312095.3</v>
      </c>
      <c r="E103" s="19">
        <v>172858.1</v>
      </c>
      <c r="F103" s="19">
        <v>161708.94</v>
      </c>
      <c r="G103" s="19">
        <v>92618.1</v>
      </c>
      <c r="H103" s="19">
        <v>147079.20000000001</v>
      </c>
      <c r="I103" s="19">
        <v>42481.2</v>
      </c>
      <c r="J103" s="19">
        <v>61561.66</v>
      </c>
      <c r="K103" s="19">
        <v>355900</v>
      </c>
      <c r="L103" s="19">
        <v>53419.199999999997</v>
      </c>
      <c r="M103" s="19"/>
      <c r="O103" s="9"/>
    </row>
    <row r="104" spans="1:15" ht="16.5" customHeight="1">
      <c r="A104" s="9"/>
      <c r="C104" s="18" t="s">
        <v>125</v>
      </c>
      <c r="D104" s="19">
        <v>10612.8</v>
      </c>
      <c r="E104" s="19">
        <v>13160.4</v>
      </c>
      <c r="F104" s="19">
        <v>5640</v>
      </c>
      <c r="G104" s="19">
        <v>7154.4</v>
      </c>
      <c r="H104" s="19">
        <v>9837.6</v>
      </c>
      <c r="I104" s="19"/>
      <c r="J104" s="19"/>
      <c r="K104" s="19">
        <v>5829.6</v>
      </c>
      <c r="L104" s="19">
        <v>5881.2</v>
      </c>
      <c r="M104" s="19"/>
      <c r="O104" s="9"/>
    </row>
    <row r="105" spans="1:15" ht="16.5" customHeight="1">
      <c r="A105" s="9"/>
      <c r="C105" s="18" t="s">
        <v>126</v>
      </c>
      <c r="D105" s="19">
        <v>16459.2</v>
      </c>
      <c r="E105" s="19">
        <v>27252</v>
      </c>
      <c r="F105" s="19">
        <v>16560</v>
      </c>
      <c r="G105" s="19"/>
      <c r="H105" s="19"/>
      <c r="I105" s="19"/>
      <c r="J105" s="19">
        <v>20340</v>
      </c>
      <c r="K105" s="19">
        <v>14460</v>
      </c>
      <c r="L105" s="19">
        <v>30980</v>
      </c>
      <c r="M105" s="19"/>
      <c r="O105" s="9"/>
    </row>
    <row r="106" spans="1:15" ht="16.5" customHeight="1">
      <c r="A106" s="9"/>
      <c r="C106" s="18" t="s">
        <v>86</v>
      </c>
      <c r="D106" s="19">
        <v>18712.8</v>
      </c>
      <c r="E106" s="19">
        <v>29208.78</v>
      </c>
      <c r="F106" s="19">
        <v>28201.599999999999</v>
      </c>
      <c r="G106" s="19">
        <v>37623.599999999999</v>
      </c>
      <c r="H106" s="19">
        <v>36470.400000000001</v>
      </c>
      <c r="I106" s="19">
        <v>32258.400000000001</v>
      </c>
      <c r="J106" s="19">
        <v>64209.599999999999</v>
      </c>
      <c r="K106" s="19">
        <v>56980.800000000003</v>
      </c>
      <c r="L106" s="19">
        <v>41328</v>
      </c>
      <c r="M106" s="19"/>
      <c r="O106" s="9"/>
    </row>
    <row r="107" spans="1:15" ht="16.5" customHeight="1">
      <c r="A107" s="9"/>
      <c r="C107" s="18" t="s">
        <v>87</v>
      </c>
      <c r="D107" s="19"/>
      <c r="E107" s="19"/>
      <c r="F107" s="19"/>
      <c r="G107" s="19"/>
      <c r="H107" s="19"/>
      <c r="I107" s="19"/>
      <c r="J107" s="19">
        <v>3924</v>
      </c>
      <c r="K107" s="19">
        <v>25617.599999999999</v>
      </c>
      <c r="L107" s="19">
        <v>3186</v>
      </c>
      <c r="M107" s="19"/>
      <c r="O107" s="9"/>
    </row>
    <row r="108" spans="1:15" ht="16.5" customHeight="1">
      <c r="A108" s="9"/>
      <c r="C108" s="18" t="s">
        <v>127</v>
      </c>
      <c r="D108" s="19"/>
      <c r="E108" s="19"/>
      <c r="F108" s="19"/>
      <c r="G108" s="19"/>
      <c r="H108" s="19">
        <v>6570</v>
      </c>
      <c r="I108" s="19">
        <v>13140</v>
      </c>
      <c r="J108" s="19">
        <v>6570</v>
      </c>
      <c r="K108" s="19">
        <v>13140</v>
      </c>
      <c r="L108" s="19"/>
      <c r="M108" s="19"/>
      <c r="O108" s="9"/>
    </row>
    <row r="109" spans="1:15" ht="16.5" customHeight="1">
      <c r="A109" s="9"/>
      <c r="C109" s="18" t="s">
        <v>128</v>
      </c>
      <c r="D109" s="19">
        <v>12080.4</v>
      </c>
      <c r="E109" s="19">
        <v>13516.8</v>
      </c>
      <c r="F109" s="19">
        <v>5760</v>
      </c>
      <c r="G109" s="19">
        <v>4658.3999999999996</v>
      </c>
      <c r="H109" s="19"/>
      <c r="I109" s="19"/>
      <c r="J109" s="19"/>
      <c r="K109" s="19"/>
      <c r="L109" s="19"/>
      <c r="M109" s="19"/>
      <c r="O109" s="9"/>
    </row>
    <row r="110" spans="1:15" ht="16.5" customHeight="1">
      <c r="A110" s="9"/>
      <c r="C110" s="18" t="s">
        <v>88</v>
      </c>
      <c r="D110" s="19">
        <v>303525</v>
      </c>
      <c r="E110" s="19">
        <v>324000</v>
      </c>
      <c r="F110" s="19">
        <v>202500</v>
      </c>
      <c r="G110" s="19">
        <v>104625</v>
      </c>
      <c r="H110" s="19">
        <v>90145</v>
      </c>
      <c r="I110" s="19">
        <v>206320</v>
      </c>
      <c r="J110" s="19">
        <v>215690</v>
      </c>
      <c r="K110" s="19">
        <v>117450</v>
      </c>
      <c r="L110" s="19">
        <v>22410</v>
      </c>
      <c r="M110" s="19"/>
      <c r="O110" s="9"/>
    </row>
    <row r="111" spans="1:15" ht="16.5" customHeight="1">
      <c r="A111" s="9"/>
      <c r="C111" s="18" t="s">
        <v>89</v>
      </c>
      <c r="D111" s="19">
        <v>66420</v>
      </c>
      <c r="E111" s="19">
        <v>44000</v>
      </c>
      <c r="F111" s="19">
        <v>60500</v>
      </c>
      <c r="G111" s="19">
        <v>68840</v>
      </c>
      <c r="H111" s="19">
        <v>77300</v>
      </c>
      <c r="I111" s="19">
        <v>101948</v>
      </c>
      <c r="J111" s="19">
        <v>133060</v>
      </c>
      <c r="K111" s="19">
        <v>135150</v>
      </c>
      <c r="L111" s="19">
        <v>84680</v>
      </c>
      <c r="M111" s="19"/>
      <c r="O111" s="9"/>
    </row>
    <row r="112" spans="1:15" ht="16.5" customHeight="1">
      <c r="A112" s="9"/>
      <c r="C112" s="18" t="s">
        <v>129</v>
      </c>
      <c r="D112" s="19">
        <v>69380.600000000006</v>
      </c>
      <c r="E112" s="19">
        <v>91074.8</v>
      </c>
      <c r="F112" s="19">
        <v>107283.2</v>
      </c>
      <c r="G112" s="19">
        <v>114676.4</v>
      </c>
      <c r="H112" s="19">
        <v>151917.20000000001</v>
      </c>
      <c r="I112" s="19">
        <v>143298</v>
      </c>
      <c r="J112" s="19">
        <v>88375.2</v>
      </c>
      <c r="K112" s="19">
        <v>12916.8</v>
      </c>
      <c r="L112" s="19">
        <v>14004</v>
      </c>
      <c r="M112" s="19"/>
      <c r="O112" s="9"/>
    </row>
    <row r="113" spans="1:15" ht="16.5" customHeight="1">
      <c r="A113" s="9"/>
      <c r="C113" s="18" t="s">
        <v>90</v>
      </c>
      <c r="D113" s="19">
        <v>116633.52</v>
      </c>
      <c r="E113" s="19">
        <v>141790.79999999999</v>
      </c>
      <c r="F113" s="19">
        <v>139777.20000000001</v>
      </c>
      <c r="G113" s="19">
        <v>153841.20000000001</v>
      </c>
      <c r="H113" s="19">
        <v>159960.29999999999</v>
      </c>
      <c r="I113" s="19">
        <v>57194.400000000001</v>
      </c>
      <c r="J113" s="19">
        <v>56152.800000000003</v>
      </c>
      <c r="K113" s="19">
        <v>30606.36</v>
      </c>
      <c r="L113" s="19">
        <v>62350.02</v>
      </c>
      <c r="M113" s="19"/>
      <c r="O113" s="9"/>
    </row>
    <row r="114" spans="1:15" ht="16.5" customHeight="1">
      <c r="A114" s="9"/>
      <c r="C114" s="18" t="s">
        <v>91</v>
      </c>
      <c r="D114" s="19">
        <v>145437.6</v>
      </c>
      <c r="E114" s="19">
        <v>198042</v>
      </c>
      <c r="F114" s="19">
        <v>49841.7</v>
      </c>
      <c r="G114" s="19">
        <v>31036.5</v>
      </c>
      <c r="H114" s="19">
        <v>34935.300000000003</v>
      </c>
      <c r="I114" s="19">
        <v>33470.400000000001</v>
      </c>
      <c r="J114" s="19">
        <v>44881.8</v>
      </c>
      <c r="K114" s="19">
        <v>55904.1</v>
      </c>
      <c r="L114" s="19">
        <v>64816.2</v>
      </c>
      <c r="M114" s="19"/>
      <c r="O114" s="9"/>
    </row>
    <row r="115" spans="1:15" ht="16.5" customHeight="1">
      <c r="A115" s="9"/>
      <c r="C115" s="18" t="s">
        <v>130</v>
      </c>
      <c r="D115" s="19"/>
      <c r="E115" s="19"/>
      <c r="F115" s="19"/>
      <c r="G115" s="19"/>
      <c r="H115" s="19"/>
      <c r="I115" s="19"/>
      <c r="J115" s="19"/>
      <c r="K115" s="19">
        <v>300</v>
      </c>
      <c r="L115" s="19"/>
      <c r="M115" s="19"/>
      <c r="O115" s="9"/>
    </row>
    <row r="116" spans="1:15" ht="16.5" customHeight="1">
      <c r="A116" s="9"/>
      <c r="C116" s="18" t="s">
        <v>92</v>
      </c>
      <c r="D116" s="19">
        <v>11373.6</v>
      </c>
      <c r="E116" s="19">
        <v>10820.4</v>
      </c>
      <c r="F116" s="19">
        <v>8850</v>
      </c>
      <c r="G116" s="19">
        <v>8923.2000000000007</v>
      </c>
      <c r="H116" s="19">
        <v>12164.4</v>
      </c>
      <c r="I116" s="19">
        <v>14094</v>
      </c>
      <c r="J116" s="19">
        <v>29343</v>
      </c>
      <c r="K116" s="19">
        <v>26604.6</v>
      </c>
      <c r="L116" s="19">
        <v>26566.2</v>
      </c>
      <c r="M116" s="19"/>
      <c r="O116" s="9"/>
    </row>
    <row r="117" spans="1:15" ht="16.5" customHeight="1">
      <c r="A117" s="9"/>
      <c r="C117" s="18" t="s">
        <v>93</v>
      </c>
      <c r="D117" s="19"/>
      <c r="E117" s="19">
        <v>3288</v>
      </c>
      <c r="F117" s="19"/>
      <c r="G117" s="19">
        <v>6120</v>
      </c>
      <c r="H117" s="19">
        <v>6240</v>
      </c>
      <c r="I117" s="19">
        <v>3619.2</v>
      </c>
      <c r="J117" s="19">
        <v>12835.2</v>
      </c>
      <c r="K117" s="19">
        <v>14740.8</v>
      </c>
      <c r="L117" s="19">
        <v>28545.599999999999</v>
      </c>
      <c r="M117" s="19"/>
      <c r="O117" s="9"/>
    </row>
    <row r="118" spans="1:15" ht="16.5" customHeight="1">
      <c r="A118" s="9"/>
      <c r="C118" s="18" t="s">
        <v>131</v>
      </c>
      <c r="D118" s="19">
        <v>1084.56</v>
      </c>
      <c r="E118" s="19"/>
      <c r="F118" s="19">
        <v>1614</v>
      </c>
      <c r="G118" s="19"/>
      <c r="H118" s="19"/>
      <c r="I118" s="19">
        <v>1530</v>
      </c>
      <c r="J118" s="19"/>
      <c r="K118" s="19">
        <v>1821.6</v>
      </c>
      <c r="L118" s="19"/>
      <c r="M118" s="19"/>
      <c r="O118" s="9"/>
    </row>
    <row r="119" spans="1:15" ht="16.5" customHeight="1">
      <c r="A119" s="9"/>
      <c r="C119" s="18" t="s">
        <v>132</v>
      </c>
      <c r="D119" s="19">
        <v>23040</v>
      </c>
      <c r="E119" s="19">
        <v>31350</v>
      </c>
      <c r="F119" s="19">
        <v>5760</v>
      </c>
      <c r="G119" s="19">
        <v>11520</v>
      </c>
      <c r="H119" s="19">
        <v>5760</v>
      </c>
      <c r="I119" s="19">
        <v>7368</v>
      </c>
      <c r="J119" s="19"/>
      <c r="K119" s="19"/>
      <c r="L119" s="19"/>
      <c r="M119" s="19"/>
      <c r="O119" s="9"/>
    </row>
    <row r="120" spans="1:15" ht="16.5" customHeight="1">
      <c r="A120" s="9"/>
      <c r="C120" s="18" t="s">
        <v>133</v>
      </c>
      <c r="D120" s="19">
        <v>47252.4</v>
      </c>
      <c r="E120" s="19">
        <v>45616.4</v>
      </c>
      <c r="F120" s="19">
        <v>6280</v>
      </c>
      <c r="G120" s="19">
        <v>15400</v>
      </c>
      <c r="H120" s="19">
        <v>5600</v>
      </c>
      <c r="I120" s="19"/>
      <c r="J120" s="19">
        <v>63000</v>
      </c>
      <c r="K120" s="19"/>
      <c r="L120" s="19"/>
      <c r="M120" s="19"/>
      <c r="O120" s="9"/>
    </row>
    <row r="121" spans="1:15" ht="16.5" customHeight="1">
      <c r="A121" s="9"/>
      <c r="C121" s="18" t="s">
        <v>134</v>
      </c>
      <c r="D121" s="19"/>
      <c r="E121" s="19"/>
      <c r="F121" s="19"/>
      <c r="G121" s="19"/>
      <c r="H121" s="19"/>
      <c r="I121" s="19"/>
      <c r="J121" s="19"/>
      <c r="K121" s="19"/>
      <c r="L121" s="19">
        <v>2467.1999999999998</v>
      </c>
      <c r="M121" s="19"/>
      <c r="O121" s="9"/>
    </row>
    <row r="122" spans="1:15" ht="16.5" customHeight="1">
      <c r="A122" s="9"/>
      <c r="C122" s="18" t="s">
        <v>135</v>
      </c>
      <c r="D122" s="19">
        <v>1800</v>
      </c>
      <c r="E122" s="19">
        <v>3528</v>
      </c>
      <c r="F122" s="19"/>
      <c r="G122" s="19">
        <v>3456</v>
      </c>
      <c r="H122" s="19">
        <v>3528</v>
      </c>
      <c r="I122" s="19"/>
      <c r="J122" s="19">
        <v>14112</v>
      </c>
      <c r="K122" s="19"/>
      <c r="L122" s="19">
        <v>9031.2000000000007</v>
      </c>
      <c r="M122" s="19"/>
      <c r="O122" s="9"/>
    </row>
    <row r="123" spans="1:15" ht="16.5" customHeight="1">
      <c r="A123" s="9"/>
      <c r="C123" s="18" t="s">
        <v>136</v>
      </c>
      <c r="D123" s="19">
        <v>115452</v>
      </c>
      <c r="E123" s="19">
        <v>372204</v>
      </c>
      <c r="F123" s="19">
        <v>203617.2</v>
      </c>
      <c r="G123" s="19"/>
      <c r="H123" s="19"/>
      <c r="I123" s="19"/>
      <c r="J123" s="19">
        <v>10497.6</v>
      </c>
      <c r="K123" s="19"/>
      <c r="L123" s="19"/>
      <c r="M123" s="19"/>
      <c r="O123" s="9"/>
    </row>
    <row r="124" spans="1:15" ht="16.5" customHeight="1">
      <c r="A124" s="9"/>
      <c r="C124" s="18" t="s">
        <v>94</v>
      </c>
      <c r="D124" s="19">
        <v>12080</v>
      </c>
      <c r="E124" s="19">
        <v>18350</v>
      </c>
      <c r="F124" s="19">
        <v>18030</v>
      </c>
      <c r="G124" s="19">
        <v>19590</v>
      </c>
      <c r="H124" s="19">
        <v>17640</v>
      </c>
      <c r="I124" s="19">
        <v>22680</v>
      </c>
      <c r="J124" s="19"/>
      <c r="K124" s="19">
        <v>15220</v>
      </c>
      <c r="L124" s="19">
        <v>15220</v>
      </c>
      <c r="M124" s="19"/>
      <c r="O124" s="9"/>
    </row>
    <row r="125" spans="1:15" ht="16.5" customHeight="1">
      <c r="A125" s="9"/>
      <c r="C125" s="18" t="s">
        <v>137</v>
      </c>
      <c r="D125" s="19">
        <v>964.8</v>
      </c>
      <c r="E125" s="19">
        <v>410.4</v>
      </c>
      <c r="F125" s="19">
        <v>421.2</v>
      </c>
      <c r="G125" s="19">
        <v>280.8</v>
      </c>
      <c r="H125" s="19">
        <v>583.20000000000005</v>
      </c>
      <c r="I125" s="19">
        <v>451.2</v>
      </c>
      <c r="J125" s="19">
        <v>302.39999999999998</v>
      </c>
      <c r="K125" s="19">
        <v>453.6</v>
      </c>
      <c r="L125" s="19">
        <v>302.39999999999998</v>
      </c>
      <c r="M125" s="19"/>
      <c r="O125" s="9"/>
    </row>
    <row r="126" spans="1:15" ht="16.5" customHeight="1">
      <c r="A126" s="9"/>
      <c r="C126" s="18" t="s">
        <v>95</v>
      </c>
      <c r="D126" s="19">
        <v>590028.92000000004</v>
      </c>
      <c r="E126" s="19">
        <v>555814.31999999995</v>
      </c>
      <c r="F126" s="19">
        <v>556111</v>
      </c>
      <c r="G126" s="19">
        <v>618284.64</v>
      </c>
      <c r="H126" s="19">
        <v>471883.64</v>
      </c>
      <c r="I126" s="19">
        <v>603472.36</v>
      </c>
      <c r="J126" s="19">
        <v>558269.56000000006</v>
      </c>
      <c r="K126" s="19">
        <v>393636.12</v>
      </c>
      <c r="L126" s="19">
        <v>447889.2</v>
      </c>
      <c r="M126" s="19"/>
      <c r="O126" s="9"/>
    </row>
    <row r="127" spans="1:15" ht="16.5" customHeight="1">
      <c r="A127" s="9"/>
      <c r="C127" s="18" t="s">
        <v>138</v>
      </c>
      <c r="D127" s="19">
        <v>3288</v>
      </c>
      <c r="E127" s="19">
        <v>5623.2</v>
      </c>
      <c r="F127" s="19">
        <v>3288</v>
      </c>
      <c r="G127" s="19"/>
      <c r="H127" s="19"/>
      <c r="I127" s="19"/>
      <c r="J127" s="19"/>
      <c r="K127" s="19"/>
      <c r="L127" s="19"/>
      <c r="M127" s="19"/>
      <c r="O127" s="9"/>
    </row>
    <row r="128" spans="1:15" ht="16.5" customHeight="1">
      <c r="A128" s="9"/>
      <c r="C128" s="18" t="s">
        <v>139</v>
      </c>
      <c r="D128" s="19">
        <v>22890</v>
      </c>
      <c r="E128" s="19">
        <v>39030</v>
      </c>
      <c r="F128" s="19">
        <v>5180</v>
      </c>
      <c r="G128" s="19">
        <v>23190</v>
      </c>
      <c r="H128" s="19"/>
      <c r="I128" s="19"/>
      <c r="J128" s="19"/>
      <c r="K128" s="19"/>
      <c r="L128" s="19"/>
      <c r="M128" s="19"/>
      <c r="O128" s="9"/>
    </row>
    <row r="129" spans="1:15" ht="16.5" customHeight="1">
      <c r="A129" s="9"/>
      <c r="C129" s="18" t="s">
        <v>96</v>
      </c>
      <c r="D129" s="19">
        <v>1215199</v>
      </c>
      <c r="E129" s="19">
        <v>1424435</v>
      </c>
      <c r="F129" s="19">
        <v>1242660</v>
      </c>
      <c r="G129" s="19">
        <v>538444.6</v>
      </c>
      <c r="H129" s="19">
        <v>1101615.6000000001</v>
      </c>
      <c r="I129" s="19">
        <v>1210170.2</v>
      </c>
      <c r="J129" s="19">
        <v>1635144.6</v>
      </c>
      <c r="K129" s="19">
        <v>1724519.4</v>
      </c>
      <c r="L129" s="19">
        <v>1042809.8</v>
      </c>
      <c r="M129" s="19"/>
      <c r="O129" s="9"/>
    </row>
    <row r="130" spans="1:15" ht="16.5" customHeight="1">
      <c r="A130" s="9"/>
      <c r="C130" s="18" t="s">
        <v>97</v>
      </c>
      <c r="D130" s="19">
        <v>4069134.5</v>
      </c>
      <c r="E130" s="19">
        <v>4612071.0999999996</v>
      </c>
      <c r="F130" s="19">
        <v>1855624</v>
      </c>
      <c r="G130" s="19">
        <v>2608208.1</v>
      </c>
      <c r="H130" s="19">
        <v>3242731</v>
      </c>
      <c r="I130" s="19">
        <v>3899684.3</v>
      </c>
      <c r="J130" s="19">
        <v>3600745.1</v>
      </c>
      <c r="K130" s="19">
        <v>531550</v>
      </c>
      <c r="L130" s="19">
        <v>150135.29999999999</v>
      </c>
      <c r="M130" s="19"/>
      <c r="O130" s="9"/>
    </row>
    <row r="131" spans="1:15" ht="16.5" customHeight="1">
      <c r="A131" s="9"/>
      <c r="C131" s="18" t="s">
        <v>98</v>
      </c>
      <c r="D131" s="19"/>
      <c r="E131" s="19">
        <v>22771.200000000001</v>
      </c>
      <c r="F131" s="19">
        <v>5760</v>
      </c>
      <c r="G131" s="19">
        <v>39120</v>
      </c>
      <c r="H131" s="19">
        <v>23632.799999999999</v>
      </c>
      <c r="I131" s="19">
        <v>28968</v>
      </c>
      <c r="J131" s="19">
        <v>47330.400000000001</v>
      </c>
      <c r="K131" s="19">
        <v>68500.800000000003</v>
      </c>
      <c r="L131" s="19">
        <v>71164.800000000003</v>
      </c>
      <c r="M131" s="19"/>
      <c r="O131" s="9"/>
    </row>
    <row r="132" spans="1:15" ht="16.5" customHeight="1">
      <c r="A132" s="9"/>
      <c r="C132" s="18" t="s">
        <v>140</v>
      </c>
      <c r="D132" s="19">
        <v>50285</v>
      </c>
      <c r="E132" s="19">
        <v>67135</v>
      </c>
      <c r="F132" s="19">
        <v>47175</v>
      </c>
      <c r="G132" s="19">
        <v>47125</v>
      </c>
      <c r="H132" s="19">
        <v>18075</v>
      </c>
      <c r="I132" s="19">
        <v>25425</v>
      </c>
      <c r="J132" s="19">
        <v>9350</v>
      </c>
      <c r="K132" s="19">
        <v>7350</v>
      </c>
      <c r="L132" s="19">
        <v>43450</v>
      </c>
      <c r="M132" s="19"/>
      <c r="O132" s="9"/>
    </row>
    <row r="133" spans="1:15" ht="16.5" customHeight="1">
      <c r="A133" s="9"/>
      <c r="C133" s="18" t="s">
        <v>99</v>
      </c>
      <c r="D133" s="19"/>
      <c r="E133" s="19"/>
      <c r="F133" s="19"/>
      <c r="G133" s="19"/>
      <c r="H133" s="19"/>
      <c r="I133" s="19">
        <v>1080.576</v>
      </c>
      <c r="J133" s="19">
        <v>1027.75</v>
      </c>
      <c r="K133" s="19">
        <v>5501.8</v>
      </c>
      <c r="L133" s="19">
        <v>4748.2</v>
      </c>
      <c r="M133" s="19"/>
      <c r="O133" s="9"/>
    </row>
    <row r="134" spans="1:15" ht="16.5" customHeight="1">
      <c r="A134" s="9"/>
      <c r="C134" s="18" t="s">
        <v>141</v>
      </c>
      <c r="D134" s="19">
        <v>5102.3999999999996</v>
      </c>
      <c r="E134" s="19"/>
      <c r="F134" s="19">
        <v>6000</v>
      </c>
      <c r="G134" s="19">
        <v>4128</v>
      </c>
      <c r="H134" s="19">
        <v>5280</v>
      </c>
      <c r="I134" s="19"/>
      <c r="J134" s="19"/>
      <c r="K134" s="19"/>
      <c r="L134" s="19"/>
      <c r="M134" s="19"/>
      <c r="O134" s="9"/>
    </row>
    <row r="135" spans="1:15" ht="16.5" customHeight="1">
      <c r="A135" s="9"/>
      <c r="C135" s="18" t="s">
        <v>142</v>
      </c>
      <c r="D135" s="19">
        <v>5760</v>
      </c>
      <c r="E135" s="19">
        <v>35796</v>
      </c>
      <c r="F135" s="19">
        <v>5808</v>
      </c>
      <c r="G135" s="19">
        <v>12038.4</v>
      </c>
      <c r="H135" s="19"/>
      <c r="I135" s="19"/>
      <c r="J135" s="19"/>
      <c r="K135" s="19"/>
      <c r="L135" s="19"/>
      <c r="M135" s="19"/>
      <c r="O135" s="9"/>
    </row>
    <row r="136" spans="1:15" ht="16.5" customHeight="1">
      <c r="A136" s="9"/>
      <c r="C136" s="2" t="s">
        <v>8</v>
      </c>
      <c r="D136" s="12">
        <f>SUBTOTAL(109,PaisPesoAnual['[9YA']])</f>
        <v>81546983.789999977</v>
      </c>
      <c r="E136" s="12">
        <f>SUBTOTAL(109,PaisPesoAnual['[8YA']])</f>
        <v>89561827.660999998</v>
      </c>
      <c r="F136" s="12">
        <f>SUBTOTAL(109,PaisPesoAnual['[7YA']])</f>
        <v>80683056.880999982</v>
      </c>
      <c r="G136" s="12">
        <f>SUBTOTAL(109,PaisPesoAnual['[6YA']])</f>
        <v>85928144.503999993</v>
      </c>
      <c r="H136" s="12">
        <f>SUBTOTAL(109,PaisPesoAnual['[5YA']])</f>
        <v>92220121.859999999</v>
      </c>
      <c r="I136" s="12">
        <f>SUBTOTAL(109,PaisPesoAnual['[4YA']])</f>
        <v>94195168.781400055</v>
      </c>
      <c r="J136" s="12">
        <f>SUBTOTAL(109,PaisPesoAnual['[3YA']])</f>
        <v>94455937.387200028</v>
      </c>
      <c r="K136" s="12">
        <f>SUBTOTAL(109,PaisPesoAnual['[2YA']])</f>
        <v>86140985.258999974</v>
      </c>
      <c r="L136" s="12">
        <f>SUBTOTAL(109,PaisPesoAnual['[LY']])</f>
        <v>86568940.691000015</v>
      </c>
      <c r="M136" s="12">
        <f>SUBTOTAL(109,PaisPesoAnual['[CY']])</f>
        <v>6842037.0553000011</v>
      </c>
      <c r="O136" s="9"/>
    </row>
    <row r="137" spans="1:15" ht="16.5" customHeight="1">
      <c r="A137" s="9"/>
      <c r="C137" s="7" t="s">
        <v>9</v>
      </c>
      <c r="O137" s="9"/>
    </row>
    <row r="138" spans="1:15" ht="16.5" customHeight="1">
      <c r="A138" s="9"/>
      <c r="O138" s="9"/>
    </row>
    <row r="139" spans="1:15" ht="16.5" customHeight="1">
      <c r="A139" s="9"/>
      <c r="O139" s="9"/>
    </row>
    <row r="140" spans="1:15" ht="16.5" customHeight="1">
      <c r="A140" s="9"/>
      <c r="C140" s="6" t="s">
        <v>10</v>
      </c>
      <c r="O140" s="9"/>
    </row>
    <row r="141" spans="1:15" ht="16.5" customHeight="1">
      <c r="A141" s="9"/>
      <c r="C141" s="3" t="s">
        <v>13</v>
      </c>
      <c r="D141" s="4" cm="1">
        <f t="array" ref="D141">Periodo[Ano]-9</f>
        <v>2015</v>
      </c>
      <c r="E141" s="4">
        <f>D141+1</f>
        <v>2016</v>
      </c>
      <c r="F141" s="4">
        <f t="shared" ref="F141:M141" si="1">E141+1</f>
        <v>2017</v>
      </c>
      <c r="G141" s="4">
        <f t="shared" si="1"/>
        <v>2018</v>
      </c>
      <c r="H141" s="4">
        <f t="shared" si="1"/>
        <v>2019</v>
      </c>
      <c r="I141" s="4">
        <f t="shared" si="1"/>
        <v>2020</v>
      </c>
      <c r="J141" s="4">
        <f t="shared" si="1"/>
        <v>2021</v>
      </c>
      <c r="K141" s="4">
        <f t="shared" si="1"/>
        <v>2022</v>
      </c>
      <c r="L141" s="4">
        <f t="shared" si="1"/>
        <v>2023</v>
      </c>
      <c r="M141" s="4">
        <f t="shared" si="1"/>
        <v>2024</v>
      </c>
      <c r="O141" s="9"/>
    </row>
    <row r="142" spans="1:15" ht="16.5" customHeight="1">
      <c r="A142" s="9"/>
      <c r="C142" s="18" t="s">
        <v>14</v>
      </c>
      <c r="D142" s="19">
        <v>604535</v>
      </c>
      <c r="E142" s="19">
        <v>588286</v>
      </c>
      <c r="F142" s="19">
        <v>600026</v>
      </c>
      <c r="G142" s="19">
        <v>644301</v>
      </c>
      <c r="H142" s="19">
        <v>663323</v>
      </c>
      <c r="I142" s="19">
        <v>747148</v>
      </c>
      <c r="J142" s="19">
        <v>709050</v>
      </c>
      <c r="K142" s="19">
        <v>773940</v>
      </c>
      <c r="L142" s="19">
        <v>701974</v>
      </c>
      <c r="M142" s="19">
        <v>59389</v>
      </c>
      <c r="O142" s="9"/>
    </row>
    <row r="143" spans="1:15" ht="16.5" customHeight="1">
      <c r="A143" s="9"/>
      <c r="C143" s="18" t="s">
        <v>15</v>
      </c>
      <c r="D143" s="19">
        <v>75233</v>
      </c>
      <c r="E143" s="19">
        <v>74339</v>
      </c>
      <c r="F143" s="19">
        <v>83859</v>
      </c>
      <c r="G143" s="19">
        <v>91418</v>
      </c>
      <c r="H143" s="19">
        <v>134162</v>
      </c>
      <c r="I143" s="19">
        <v>142702</v>
      </c>
      <c r="J143" s="19">
        <v>162692</v>
      </c>
      <c r="K143" s="19">
        <v>181172</v>
      </c>
      <c r="L143" s="19">
        <v>196990</v>
      </c>
      <c r="M143" s="19">
        <v>21058</v>
      </c>
      <c r="O143" s="9"/>
    </row>
    <row r="144" spans="1:15" ht="16.5" customHeight="1">
      <c r="A144" s="9"/>
      <c r="C144" s="18" t="s">
        <v>16</v>
      </c>
      <c r="D144" s="19">
        <v>278974</v>
      </c>
      <c r="E144" s="19">
        <v>321454</v>
      </c>
      <c r="F144" s="19">
        <v>313987</v>
      </c>
      <c r="G144" s="19">
        <v>307603</v>
      </c>
      <c r="H144" s="19">
        <v>277445</v>
      </c>
      <c r="I144" s="19">
        <v>242366</v>
      </c>
      <c r="J144" s="19">
        <v>269674</v>
      </c>
      <c r="K144" s="19">
        <v>187944</v>
      </c>
      <c r="L144" s="19">
        <v>231795</v>
      </c>
      <c r="M144" s="19">
        <v>19811</v>
      </c>
      <c r="O144" s="9"/>
    </row>
    <row r="145" spans="1:15" ht="16.5" customHeight="1">
      <c r="A145" s="9"/>
      <c r="C145" s="18" t="s">
        <v>17</v>
      </c>
      <c r="D145" s="19">
        <v>29033</v>
      </c>
      <c r="E145" s="19">
        <v>66513</v>
      </c>
      <c r="F145" s="19">
        <v>54742</v>
      </c>
      <c r="G145" s="19">
        <v>106922</v>
      </c>
      <c r="H145" s="19">
        <v>120346</v>
      </c>
      <c r="I145" s="19">
        <v>143523</v>
      </c>
      <c r="J145" s="19">
        <v>107282</v>
      </c>
      <c r="K145" s="19">
        <v>90200</v>
      </c>
      <c r="L145" s="19">
        <v>119853</v>
      </c>
      <c r="M145" s="19">
        <v>14158</v>
      </c>
      <c r="O145" s="9"/>
    </row>
    <row r="146" spans="1:15" ht="16.5" customHeight="1">
      <c r="A146" s="9"/>
      <c r="C146" s="18" t="s">
        <v>18</v>
      </c>
      <c r="D146" s="19">
        <v>31138</v>
      </c>
      <c r="E146" s="19">
        <v>15574</v>
      </c>
      <c r="F146" s="19">
        <v>29776</v>
      </c>
      <c r="G146" s="19">
        <v>54955</v>
      </c>
      <c r="H146" s="19">
        <v>79291</v>
      </c>
      <c r="I146" s="19">
        <v>79927</v>
      </c>
      <c r="J146" s="19">
        <v>91078</v>
      </c>
      <c r="K146" s="19">
        <v>50217</v>
      </c>
      <c r="L146" s="19">
        <v>49018</v>
      </c>
      <c r="M146" s="19">
        <v>13418</v>
      </c>
      <c r="O146" s="9"/>
    </row>
    <row r="147" spans="1:15" ht="16.5" customHeight="1">
      <c r="A147" s="9"/>
      <c r="C147" s="18" t="s">
        <v>19</v>
      </c>
      <c r="D147" s="19">
        <v>21965</v>
      </c>
      <c r="E147" s="19">
        <v>11512</v>
      </c>
      <c r="F147" s="19">
        <v>11313</v>
      </c>
      <c r="G147" s="19">
        <v>13454</v>
      </c>
      <c r="H147" s="19">
        <v>8302</v>
      </c>
      <c r="I147" s="19">
        <v>89149</v>
      </c>
      <c r="J147" s="19">
        <v>74112</v>
      </c>
      <c r="K147" s="19">
        <v>86523</v>
      </c>
      <c r="L147" s="19">
        <v>90004</v>
      </c>
      <c r="M147" s="19">
        <v>12517</v>
      </c>
      <c r="O147" s="9"/>
    </row>
    <row r="148" spans="1:15" ht="16.5" customHeight="1">
      <c r="A148" s="9"/>
      <c r="C148" s="18" t="s">
        <v>20</v>
      </c>
      <c r="D148" s="19">
        <v>400971</v>
      </c>
      <c r="E148" s="19">
        <v>522210</v>
      </c>
      <c r="F148" s="19">
        <v>494368</v>
      </c>
      <c r="G148" s="19">
        <v>440628</v>
      </c>
      <c r="H148" s="19">
        <v>385825</v>
      </c>
      <c r="I148" s="19">
        <v>376554</v>
      </c>
      <c r="J148" s="19">
        <v>380528</v>
      </c>
      <c r="K148" s="19">
        <v>135108</v>
      </c>
      <c r="L148" s="19">
        <v>56782</v>
      </c>
      <c r="M148" s="19">
        <v>11848</v>
      </c>
      <c r="O148" s="9"/>
    </row>
    <row r="149" spans="1:15" ht="16.5" customHeight="1">
      <c r="A149" s="9"/>
      <c r="C149" s="18" t="s">
        <v>21</v>
      </c>
      <c r="D149" s="19">
        <v>121711</v>
      </c>
      <c r="E149" s="19">
        <v>126686</v>
      </c>
      <c r="F149" s="19">
        <v>94860</v>
      </c>
      <c r="G149" s="19">
        <v>68873</v>
      </c>
      <c r="H149" s="19">
        <v>79101</v>
      </c>
      <c r="I149" s="19">
        <v>43958</v>
      </c>
      <c r="J149" s="19">
        <v>39228</v>
      </c>
      <c r="K149" s="19">
        <v>97844</v>
      </c>
      <c r="L149" s="19">
        <v>71209</v>
      </c>
      <c r="M149" s="19">
        <v>11763</v>
      </c>
      <c r="O149" s="9"/>
    </row>
    <row r="150" spans="1:15" ht="16.5" customHeight="1">
      <c r="A150" s="9"/>
      <c r="C150" s="18" t="s">
        <v>22</v>
      </c>
      <c r="D150" s="19">
        <v>175663</v>
      </c>
      <c r="E150" s="19">
        <v>172352</v>
      </c>
      <c r="F150" s="19">
        <v>213312</v>
      </c>
      <c r="G150" s="19">
        <v>294131</v>
      </c>
      <c r="H150" s="19">
        <v>289144</v>
      </c>
      <c r="I150" s="19">
        <v>239133</v>
      </c>
      <c r="J150" s="19">
        <v>277263</v>
      </c>
      <c r="K150" s="19">
        <v>268250</v>
      </c>
      <c r="L150" s="19">
        <v>226175</v>
      </c>
      <c r="M150" s="19">
        <v>9017</v>
      </c>
      <c r="O150" s="9"/>
    </row>
    <row r="151" spans="1:15" ht="16.5" customHeight="1">
      <c r="A151" s="9"/>
      <c r="C151" s="18" t="s">
        <v>23</v>
      </c>
      <c r="D151" s="19">
        <v>44267</v>
      </c>
      <c r="E151" s="19">
        <v>32431</v>
      </c>
      <c r="F151" s="19">
        <v>30795</v>
      </c>
      <c r="G151" s="19">
        <v>34004</v>
      </c>
      <c r="H151" s="19">
        <v>50733</v>
      </c>
      <c r="I151" s="19">
        <v>33790</v>
      </c>
      <c r="J151" s="19">
        <v>43214</v>
      </c>
      <c r="K151" s="19">
        <v>41622</v>
      </c>
      <c r="L151" s="19">
        <v>61305</v>
      </c>
      <c r="M151" s="19">
        <v>9001</v>
      </c>
      <c r="O151" s="9"/>
    </row>
    <row r="152" spans="1:15" ht="16.5" customHeight="1">
      <c r="A152" s="9"/>
      <c r="C152" s="18" t="s">
        <v>24</v>
      </c>
      <c r="D152" s="19">
        <v>90051</v>
      </c>
      <c r="E152" s="19">
        <v>95047</v>
      </c>
      <c r="F152" s="19">
        <v>108829</v>
      </c>
      <c r="G152" s="19">
        <v>113254</v>
      </c>
      <c r="H152" s="19">
        <v>102170</v>
      </c>
      <c r="I152" s="19">
        <v>149954</v>
      </c>
      <c r="J152" s="19">
        <v>96520</v>
      </c>
      <c r="K152" s="19">
        <v>116620</v>
      </c>
      <c r="L152" s="19">
        <v>102793</v>
      </c>
      <c r="M152" s="19">
        <v>8864</v>
      </c>
      <c r="O152" s="9"/>
    </row>
    <row r="153" spans="1:15" ht="16.5" customHeight="1">
      <c r="A153" s="9"/>
      <c r="C153" s="18" t="s">
        <v>25</v>
      </c>
      <c r="D153" s="19">
        <v>126069</v>
      </c>
      <c r="E153" s="19">
        <v>105557</v>
      </c>
      <c r="F153" s="19">
        <v>130361</v>
      </c>
      <c r="G153" s="19">
        <v>150205</v>
      </c>
      <c r="H153" s="19">
        <v>141301</v>
      </c>
      <c r="I153" s="19">
        <v>92383</v>
      </c>
      <c r="J153" s="19">
        <v>95699</v>
      </c>
      <c r="K153" s="19">
        <v>116952</v>
      </c>
      <c r="L153" s="19">
        <v>96533</v>
      </c>
      <c r="M153" s="19">
        <v>8531</v>
      </c>
      <c r="O153" s="9"/>
    </row>
    <row r="154" spans="1:15" ht="16.5" customHeight="1">
      <c r="A154" s="9"/>
      <c r="C154" s="18" t="s">
        <v>26</v>
      </c>
      <c r="D154" s="19">
        <v>67924</v>
      </c>
      <c r="E154" s="19">
        <v>58298</v>
      </c>
      <c r="F154" s="19">
        <v>53163</v>
      </c>
      <c r="G154" s="19">
        <v>64141</v>
      </c>
      <c r="H154" s="19">
        <v>63103</v>
      </c>
      <c r="I154" s="19">
        <v>75435</v>
      </c>
      <c r="J154" s="19">
        <v>92127</v>
      </c>
      <c r="K154" s="19">
        <v>66040</v>
      </c>
      <c r="L154" s="19">
        <v>81252</v>
      </c>
      <c r="M154" s="19">
        <v>8527</v>
      </c>
      <c r="O154" s="9"/>
    </row>
    <row r="155" spans="1:15" ht="16.5" customHeight="1">
      <c r="A155" s="9"/>
      <c r="C155" s="18" t="s">
        <v>28</v>
      </c>
      <c r="D155" s="19">
        <v>21863</v>
      </c>
      <c r="E155" s="19">
        <v>26407</v>
      </c>
      <c r="F155" s="19">
        <v>27222</v>
      </c>
      <c r="G155" s="19">
        <v>26607</v>
      </c>
      <c r="H155" s="19">
        <v>34187</v>
      </c>
      <c r="I155" s="19">
        <v>19976</v>
      </c>
      <c r="J155" s="19">
        <v>38017</v>
      </c>
      <c r="K155" s="19">
        <v>24951</v>
      </c>
      <c r="L155" s="19">
        <v>82476</v>
      </c>
      <c r="M155" s="19">
        <v>7109</v>
      </c>
      <c r="O155" s="9"/>
    </row>
    <row r="156" spans="1:15" ht="16.5" customHeight="1">
      <c r="A156" s="9"/>
      <c r="C156" s="18" t="s">
        <v>29</v>
      </c>
      <c r="D156" s="19">
        <v>3191</v>
      </c>
      <c r="E156" s="19">
        <v>1528</v>
      </c>
      <c r="F156" s="19"/>
      <c r="G156" s="19">
        <v>4116</v>
      </c>
      <c r="H156" s="19">
        <v>4826</v>
      </c>
      <c r="I156" s="19">
        <v>9403</v>
      </c>
      <c r="J156" s="19">
        <v>27239</v>
      </c>
      <c r="K156" s="19">
        <v>157276</v>
      </c>
      <c r="L156" s="19">
        <v>218080</v>
      </c>
      <c r="M156" s="19">
        <v>6982</v>
      </c>
      <c r="O156" s="9"/>
    </row>
    <row r="157" spans="1:15" ht="16.5" customHeight="1">
      <c r="A157" s="9"/>
      <c r="C157" s="18" t="s">
        <v>30</v>
      </c>
      <c r="D157" s="19">
        <v>65821</v>
      </c>
      <c r="E157" s="19">
        <v>120108</v>
      </c>
      <c r="F157" s="19">
        <v>73326</v>
      </c>
      <c r="G157" s="19">
        <v>84200</v>
      </c>
      <c r="H157" s="19">
        <v>69953</v>
      </c>
      <c r="I157" s="19">
        <v>77747</v>
      </c>
      <c r="J157" s="19">
        <v>77678</v>
      </c>
      <c r="K157" s="19">
        <v>35527</v>
      </c>
      <c r="L157" s="19">
        <v>34464</v>
      </c>
      <c r="M157" s="19">
        <v>6648</v>
      </c>
      <c r="O157" s="9"/>
    </row>
    <row r="158" spans="1:15" ht="16.5" customHeight="1">
      <c r="A158" s="9"/>
      <c r="C158" s="18" t="s">
        <v>27</v>
      </c>
      <c r="D158" s="19">
        <v>229010</v>
      </c>
      <c r="E158" s="19">
        <v>232260</v>
      </c>
      <c r="F158" s="19">
        <v>202731</v>
      </c>
      <c r="G158" s="19">
        <v>238668</v>
      </c>
      <c r="H158" s="19">
        <v>248608</v>
      </c>
      <c r="I158" s="19">
        <v>311045</v>
      </c>
      <c r="J158" s="19">
        <v>354819</v>
      </c>
      <c r="K158" s="19">
        <v>302345</v>
      </c>
      <c r="L158" s="19">
        <v>297334</v>
      </c>
      <c r="M158" s="19">
        <v>6212</v>
      </c>
      <c r="O158" s="9"/>
    </row>
    <row r="159" spans="1:15" ht="16.5" customHeight="1">
      <c r="A159" s="9"/>
      <c r="C159" s="18" t="s">
        <v>31</v>
      </c>
      <c r="D159" s="19">
        <v>19352</v>
      </c>
      <c r="E159" s="19">
        <v>19107</v>
      </c>
      <c r="F159" s="19">
        <v>7122</v>
      </c>
      <c r="G159" s="19">
        <v>8071</v>
      </c>
      <c r="H159" s="19">
        <v>7863</v>
      </c>
      <c r="I159" s="19">
        <v>8386</v>
      </c>
      <c r="J159" s="19">
        <v>10368</v>
      </c>
      <c r="K159" s="19">
        <v>7825</v>
      </c>
      <c r="L159" s="19">
        <v>10230</v>
      </c>
      <c r="M159" s="19">
        <v>5457</v>
      </c>
      <c r="O159" s="9"/>
    </row>
    <row r="160" spans="1:15" ht="16.5" customHeight="1">
      <c r="A160" s="9"/>
      <c r="C160" s="18" t="s">
        <v>32</v>
      </c>
      <c r="D160" s="19">
        <v>78541</v>
      </c>
      <c r="E160" s="19">
        <v>84128</v>
      </c>
      <c r="F160" s="19">
        <v>74252</v>
      </c>
      <c r="G160" s="19">
        <v>80673</v>
      </c>
      <c r="H160" s="19">
        <v>93970</v>
      </c>
      <c r="I160" s="19">
        <v>63199</v>
      </c>
      <c r="J160" s="19">
        <v>54511</v>
      </c>
      <c r="K160" s="19">
        <v>50485</v>
      </c>
      <c r="L160" s="19">
        <v>47205</v>
      </c>
      <c r="M160" s="19">
        <v>4254</v>
      </c>
      <c r="O160" s="9"/>
    </row>
    <row r="161" spans="1:15" ht="16.5" customHeight="1">
      <c r="A161" s="9"/>
      <c r="C161" s="18" t="s">
        <v>33</v>
      </c>
      <c r="D161" s="19">
        <v>27609</v>
      </c>
      <c r="E161" s="19">
        <v>33589</v>
      </c>
      <c r="F161" s="19">
        <v>31602</v>
      </c>
      <c r="G161" s="19">
        <v>33045</v>
      </c>
      <c r="H161" s="19">
        <v>43736</v>
      </c>
      <c r="I161" s="19">
        <v>57020</v>
      </c>
      <c r="J161" s="19">
        <v>44751</v>
      </c>
      <c r="K161" s="19">
        <v>43261</v>
      </c>
      <c r="L161" s="19">
        <v>44880</v>
      </c>
      <c r="M161" s="19">
        <v>4145</v>
      </c>
      <c r="O161" s="9"/>
    </row>
    <row r="162" spans="1:15" ht="16.5" customHeight="1">
      <c r="A162" s="9"/>
      <c r="C162" s="18" t="s">
        <v>34</v>
      </c>
      <c r="D162" s="19">
        <v>39501</v>
      </c>
      <c r="E162" s="19">
        <v>47688</v>
      </c>
      <c r="F162" s="19">
        <v>38170</v>
      </c>
      <c r="G162" s="19">
        <v>53833</v>
      </c>
      <c r="H162" s="19">
        <v>47698</v>
      </c>
      <c r="I162" s="19">
        <v>48653</v>
      </c>
      <c r="J162" s="19">
        <v>47581</v>
      </c>
      <c r="K162" s="19">
        <v>49290</v>
      </c>
      <c r="L162" s="19">
        <v>35791</v>
      </c>
      <c r="M162" s="19">
        <v>3953</v>
      </c>
      <c r="O162" s="9"/>
    </row>
    <row r="163" spans="1:15" ht="16.5" customHeight="1">
      <c r="A163" s="9"/>
      <c r="C163" s="18" t="s">
        <v>35</v>
      </c>
      <c r="D163" s="19">
        <v>9164</v>
      </c>
      <c r="E163" s="19">
        <v>1539</v>
      </c>
      <c r="F163" s="19">
        <v>30323</v>
      </c>
      <c r="G163" s="19">
        <v>14293</v>
      </c>
      <c r="H163" s="19">
        <v>3327</v>
      </c>
      <c r="I163" s="19">
        <v>4267</v>
      </c>
      <c r="J163" s="19">
        <v>3931</v>
      </c>
      <c r="K163" s="19">
        <v>4050</v>
      </c>
      <c r="L163" s="19">
        <v>39112</v>
      </c>
      <c r="M163" s="19">
        <v>3916</v>
      </c>
      <c r="O163" s="9"/>
    </row>
    <row r="164" spans="1:15" ht="16.5" customHeight="1">
      <c r="A164" s="9"/>
      <c r="C164" s="18" t="s">
        <v>36</v>
      </c>
      <c r="D164" s="19">
        <v>73479</v>
      </c>
      <c r="E164" s="19">
        <v>87258</v>
      </c>
      <c r="F164" s="19">
        <v>49182</v>
      </c>
      <c r="G164" s="19">
        <v>32883</v>
      </c>
      <c r="H164" s="19">
        <v>66515</v>
      </c>
      <c r="I164" s="19">
        <v>38931</v>
      </c>
      <c r="J164" s="19">
        <v>46321</v>
      </c>
      <c r="K164" s="19">
        <v>18971</v>
      </c>
      <c r="L164" s="19">
        <v>87004</v>
      </c>
      <c r="M164" s="19">
        <v>3631</v>
      </c>
      <c r="O164" s="9"/>
    </row>
    <row r="165" spans="1:15" ht="16.5" customHeight="1">
      <c r="A165" s="9"/>
      <c r="C165" s="18" t="s">
        <v>37</v>
      </c>
      <c r="D165" s="19">
        <v>84436</v>
      </c>
      <c r="E165" s="19">
        <v>60167</v>
      </c>
      <c r="F165" s="19">
        <v>61457</v>
      </c>
      <c r="G165" s="19">
        <v>109542</v>
      </c>
      <c r="H165" s="19">
        <v>176783</v>
      </c>
      <c r="I165" s="19">
        <v>118168</v>
      </c>
      <c r="J165" s="19">
        <v>125539</v>
      </c>
      <c r="K165" s="19">
        <v>154973</v>
      </c>
      <c r="L165" s="19">
        <v>90053</v>
      </c>
      <c r="M165" s="19">
        <v>3432</v>
      </c>
      <c r="O165" s="9"/>
    </row>
    <row r="166" spans="1:15" ht="16.5" customHeight="1">
      <c r="A166" s="9"/>
      <c r="C166" s="18" t="s">
        <v>38</v>
      </c>
      <c r="D166" s="19"/>
      <c r="E166" s="19">
        <v>686</v>
      </c>
      <c r="F166" s="19">
        <v>12878</v>
      </c>
      <c r="G166" s="19">
        <v>12747</v>
      </c>
      <c r="H166" s="19">
        <v>52917</v>
      </c>
      <c r="I166" s="19">
        <v>61889</v>
      </c>
      <c r="J166" s="19">
        <v>21608</v>
      </c>
      <c r="K166" s="19">
        <v>5954</v>
      </c>
      <c r="L166" s="19">
        <v>60308</v>
      </c>
      <c r="M166" s="19">
        <v>3153</v>
      </c>
      <c r="O166" s="9"/>
    </row>
    <row r="167" spans="1:15" ht="16.5" customHeight="1">
      <c r="A167" s="9"/>
      <c r="C167" s="18" t="s">
        <v>39</v>
      </c>
      <c r="D167" s="19">
        <v>16910</v>
      </c>
      <c r="E167" s="19">
        <v>8797</v>
      </c>
      <c r="F167" s="19">
        <v>15546</v>
      </c>
      <c r="G167" s="19">
        <v>17640</v>
      </c>
      <c r="H167" s="19">
        <v>3915</v>
      </c>
      <c r="I167" s="19">
        <v>2916</v>
      </c>
      <c r="J167" s="19">
        <v>1566</v>
      </c>
      <c r="K167" s="19">
        <v>40408</v>
      </c>
      <c r="L167" s="19">
        <v>14755</v>
      </c>
      <c r="M167" s="19">
        <v>2259</v>
      </c>
      <c r="O167" s="9"/>
    </row>
    <row r="168" spans="1:15" ht="16.5" customHeight="1">
      <c r="A168" s="9"/>
      <c r="C168" s="18" t="s">
        <v>40</v>
      </c>
      <c r="D168" s="19">
        <v>16448</v>
      </c>
      <c r="E168" s="19">
        <v>27463</v>
      </c>
      <c r="F168" s="19">
        <v>29824</v>
      </c>
      <c r="G168" s="19">
        <v>34277</v>
      </c>
      <c r="H168" s="19">
        <v>15066</v>
      </c>
      <c r="I168" s="19">
        <v>31817</v>
      </c>
      <c r="J168" s="19">
        <v>15212</v>
      </c>
      <c r="K168" s="19">
        <v>37112</v>
      </c>
      <c r="L168" s="19">
        <v>34944</v>
      </c>
      <c r="M168" s="19">
        <v>2122</v>
      </c>
      <c r="O168" s="9"/>
    </row>
    <row r="169" spans="1:15" ht="16.5" customHeight="1">
      <c r="A169" s="9"/>
      <c r="C169" s="18" t="s">
        <v>41</v>
      </c>
      <c r="D169" s="19">
        <v>32056</v>
      </c>
      <c r="E169" s="19">
        <v>32798</v>
      </c>
      <c r="F169" s="19">
        <v>25477</v>
      </c>
      <c r="G169" s="19">
        <v>22764</v>
      </c>
      <c r="H169" s="19">
        <v>22461</v>
      </c>
      <c r="I169" s="19">
        <v>24071</v>
      </c>
      <c r="J169" s="19">
        <v>21037</v>
      </c>
      <c r="K169" s="19">
        <v>21500</v>
      </c>
      <c r="L169" s="19">
        <v>21109</v>
      </c>
      <c r="M169" s="19">
        <v>1983</v>
      </c>
      <c r="O169" s="9"/>
    </row>
    <row r="170" spans="1:15" ht="16.5" customHeight="1">
      <c r="A170" s="9"/>
      <c r="C170" s="18" t="s">
        <v>42</v>
      </c>
      <c r="D170" s="19">
        <v>36014</v>
      </c>
      <c r="E170" s="19">
        <v>44798</v>
      </c>
      <c r="F170" s="19">
        <v>22317</v>
      </c>
      <c r="G170" s="19">
        <v>16771</v>
      </c>
      <c r="H170" s="19">
        <v>18728</v>
      </c>
      <c r="I170" s="19">
        <v>25650</v>
      </c>
      <c r="J170" s="19">
        <v>26184</v>
      </c>
      <c r="K170" s="19">
        <v>12478</v>
      </c>
      <c r="L170" s="19">
        <v>12474</v>
      </c>
      <c r="M170" s="19">
        <v>1872</v>
      </c>
      <c r="O170" s="9"/>
    </row>
    <row r="171" spans="1:15" ht="16.5" customHeight="1">
      <c r="A171" s="9"/>
      <c r="C171" s="18" t="s">
        <v>43</v>
      </c>
      <c r="D171" s="19">
        <v>2410</v>
      </c>
      <c r="E171" s="19">
        <v>6026</v>
      </c>
      <c r="F171" s="19">
        <v>5838</v>
      </c>
      <c r="G171" s="19">
        <v>2635</v>
      </c>
      <c r="H171" s="19">
        <v>11591</v>
      </c>
      <c r="I171" s="19">
        <v>7076</v>
      </c>
      <c r="J171" s="19">
        <v>9198</v>
      </c>
      <c r="K171" s="19">
        <v>9873</v>
      </c>
      <c r="L171" s="19">
        <v>9408</v>
      </c>
      <c r="M171" s="19">
        <v>1692</v>
      </c>
      <c r="O171" s="9"/>
    </row>
    <row r="172" spans="1:15" ht="16.5" customHeight="1">
      <c r="A172" s="9"/>
      <c r="C172" s="18" t="s">
        <v>45</v>
      </c>
      <c r="D172" s="19">
        <v>5364</v>
      </c>
      <c r="E172" s="19">
        <v>13266</v>
      </c>
      <c r="F172" s="19">
        <v>5184</v>
      </c>
      <c r="G172" s="19">
        <v>11139</v>
      </c>
      <c r="H172" s="19">
        <v>9033</v>
      </c>
      <c r="I172" s="19">
        <v>9669</v>
      </c>
      <c r="J172" s="19">
        <v>17683</v>
      </c>
      <c r="K172" s="19">
        <v>11873</v>
      </c>
      <c r="L172" s="19">
        <v>10966</v>
      </c>
      <c r="M172" s="19">
        <v>1409</v>
      </c>
      <c r="O172" s="9"/>
    </row>
    <row r="173" spans="1:15" ht="16.5" customHeight="1">
      <c r="A173" s="9"/>
      <c r="C173" s="18" t="s">
        <v>46</v>
      </c>
      <c r="D173" s="19">
        <v>16093</v>
      </c>
      <c r="E173" s="19">
        <v>16908</v>
      </c>
      <c r="F173" s="19">
        <v>15395</v>
      </c>
      <c r="G173" s="19">
        <v>13708</v>
      </c>
      <c r="H173" s="19">
        <v>14313</v>
      </c>
      <c r="I173" s="19">
        <v>13120</v>
      </c>
      <c r="J173" s="19">
        <v>14998</v>
      </c>
      <c r="K173" s="19">
        <v>12380</v>
      </c>
      <c r="L173" s="19">
        <v>14571</v>
      </c>
      <c r="M173" s="19">
        <v>1344</v>
      </c>
      <c r="O173" s="9"/>
    </row>
    <row r="174" spans="1:15" ht="16.5" customHeight="1">
      <c r="A174" s="9"/>
      <c r="C174" s="18" t="s">
        <v>44</v>
      </c>
      <c r="D174" s="19">
        <v>24144</v>
      </c>
      <c r="E174" s="19">
        <v>27932</v>
      </c>
      <c r="F174" s="19">
        <v>29917</v>
      </c>
      <c r="G174" s="19">
        <v>21574</v>
      </c>
      <c r="H174" s="19">
        <v>33037</v>
      </c>
      <c r="I174" s="19">
        <v>37973</v>
      </c>
      <c r="J174" s="19">
        <v>34585</v>
      </c>
      <c r="K174" s="19">
        <v>33807</v>
      </c>
      <c r="L174" s="19">
        <v>27849</v>
      </c>
      <c r="M174" s="19">
        <v>1304</v>
      </c>
      <c r="O174" s="9"/>
    </row>
    <row r="175" spans="1:15" ht="16.5" customHeight="1">
      <c r="A175" s="9"/>
      <c r="C175" s="18" t="s">
        <v>47</v>
      </c>
      <c r="D175" s="19">
        <v>142</v>
      </c>
      <c r="E175" s="19">
        <v>151</v>
      </c>
      <c r="F175" s="19">
        <v>79</v>
      </c>
      <c r="G175" s="19">
        <v>2135</v>
      </c>
      <c r="H175" s="19">
        <v>2622</v>
      </c>
      <c r="I175" s="19">
        <v>1556</v>
      </c>
      <c r="J175" s="19">
        <v>2689</v>
      </c>
      <c r="K175" s="19">
        <v>4576</v>
      </c>
      <c r="L175" s="19">
        <v>4119</v>
      </c>
      <c r="M175" s="19">
        <v>1262</v>
      </c>
      <c r="O175" s="9"/>
    </row>
    <row r="176" spans="1:15" ht="16.5" customHeight="1">
      <c r="A176" s="9"/>
      <c r="C176" s="18" t="s">
        <v>48</v>
      </c>
      <c r="D176" s="19">
        <v>1972</v>
      </c>
      <c r="E176" s="19">
        <v>2605</v>
      </c>
      <c r="F176" s="19">
        <v>4030</v>
      </c>
      <c r="G176" s="19">
        <v>3065</v>
      </c>
      <c r="H176" s="19">
        <v>2934</v>
      </c>
      <c r="I176" s="19">
        <v>4382</v>
      </c>
      <c r="J176" s="19">
        <v>3402</v>
      </c>
      <c r="K176" s="19">
        <v>3424</v>
      </c>
      <c r="L176" s="19">
        <v>4070</v>
      </c>
      <c r="M176" s="19">
        <v>1026</v>
      </c>
      <c r="O176" s="9"/>
    </row>
    <row r="177" spans="1:15" ht="16.5" customHeight="1">
      <c r="A177" s="9"/>
      <c r="C177" s="18" t="s">
        <v>49</v>
      </c>
      <c r="D177" s="19">
        <v>8030</v>
      </c>
      <c r="E177" s="19">
        <v>7350</v>
      </c>
      <c r="F177" s="19">
        <v>5172</v>
      </c>
      <c r="G177" s="19">
        <v>7242</v>
      </c>
      <c r="H177" s="19">
        <v>5084</v>
      </c>
      <c r="I177" s="19">
        <v>7962</v>
      </c>
      <c r="J177" s="19">
        <v>13051</v>
      </c>
      <c r="K177" s="19">
        <v>19107</v>
      </c>
      <c r="L177" s="19">
        <v>9502</v>
      </c>
      <c r="M177" s="19">
        <v>958</v>
      </c>
      <c r="O177" s="9"/>
    </row>
    <row r="178" spans="1:15" ht="16.5" customHeight="1">
      <c r="A178" s="9"/>
      <c r="C178" s="18" t="s">
        <v>50</v>
      </c>
      <c r="D178" s="19">
        <v>5742</v>
      </c>
      <c r="E178" s="19">
        <v>7040</v>
      </c>
      <c r="F178" s="19">
        <v>4411</v>
      </c>
      <c r="G178" s="19">
        <v>5220</v>
      </c>
      <c r="H178" s="19">
        <v>3744</v>
      </c>
      <c r="I178" s="19">
        <v>5311</v>
      </c>
      <c r="J178" s="19">
        <v>27918</v>
      </c>
      <c r="K178" s="19">
        <v>11095</v>
      </c>
      <c r="L178" s="19">
        <v>4827</v>
      </c>
      <c r="M178" s="19">
        <v>910</v>
      </c>
      <c r="O178" s="9"/>
    </row>
    <row r="179" spans="1:15" ht="16.5" customHeight="1">
      <c r="A179" s="9"/>
      <c r="C179" s="18" t="s">
        <v>51</v>
      </c>
      <c r="D179" s="19">
        <v>1276</v>
      </c>
      <c r="E179" s="19">
        <v>1772</v>
      </c>
      <c r="F179" s="19">
        <v>1867</v>
      </c>
      <c r="G179" s="19">
        <v>2201</v>
      </c>
      <c r="H179" s="19">
        <v>1813</v>
      </c>
      <c r="I179" s="19">
        <v>1895</v>
      </c>
      <c r="J179" s="19">
        <v>1754</v>
      </c>
      <c r="K179" s="19">
        <v>2159</v>
      </c>
      <c r="L179" s="19">
        <v>5094</v>
      </c>
      <c r="M179" s="19">
        <v>896</v>
      </c>
      <c r="O179" s="9"/>
    </row>
    <row r="180" spans="1:15" ht="16.5" customHeight="1">
      <c r="A180" s="9"/>
      <c r="C180" s="18" t="s">
        <v>53</v>
      </c>
      <c r="D180" s="19">
        <v>8834</v>
      </c>
      <c r="E180" s="19">
        <v>9827</v>
      </c>
      <c r="F180" s="19">
        <v>6605</v>
      </c>
      <c r="G180" s="19">
        <v>8205</v>
      </c>
      <c r="H180" s="19">
        <v>10407</v>
      </c>
      <c r="I180" s="19">
        <v>6443</v>
      </c>
      <c r="J180" s="19">
        <v>7343</v>
      </c>
      <c r="K180" s="19">
        <v>3507</v>
      </c>
      <c r="L180" s="19">
        <v>5096</v>
      </c>
      <c r="M180" s="19">
        <v>790</v>
      </c>
      <c r="O180" s="9"/>
    </row>
    <row r="181" spans="1:15" ht="16.5" customHeight="1">
      <c r="A181" s="9"/>
      <c r="C181" s="18" t="s">
        <v>54</v>
      </c>
      <c r="D181" s="19">
        <v>5240</v>
      </c>
      <c r="E181" s="19">
        <v>7818</v>
      </c>
      <c r="F181" s="19">
        <v>2994</v>
      </c>
      <c r="G181" s="19">
        <v>3606</v>
      </c>
      <c r="H181" s="19">
        <v>5074</v>
      </c>
      <c r="I181" s="19">
        <v>5058</v>
      </c>
      <c r="J181" s="19">
        <v>3993</v>
      </c>
      <c r="K181" s="19">
        <v>5076</v>
      </c>
      <c r="L181" s="19">
        <v>4235</v>
      </c>
      <c r="M181" s="19">
        <v>749</v>
      </c>
      <c r="O181" s="9"/>
    </row>
    <row r="182" spans="1:15" ht="16.5" customHeight="1">
      <c r="A182" s="9"/>
      <c r="C182" s="18" t="s">
        <v>55</v>
      </c>
      <c r="D182" s="19">
        <v>3481</v>
      </c>
      <c r="E182" s="19">
        <v>6497</v>
      </c>
      <c r="F182" s="19">
        <v>5616</v>
      </c>
      <c r="G182" s="19">
        <v>5304</v>
      </c>
      <c r="H182" s="19">
        <v>6552</v>
      </c>
      <c r="I182" s="19">
        <v>6209</v>
      </c>
      <c r="J182" s="19">
        <v>4494</v>
      </c>
      <c r="K182" s="19">
        <v>5992</v>
      </c>
      <c r="L182" s="19">
        <v>2996</v>
      </c>
      <c r="M182" s="19">
        <v>749</v>
      </c>
      <c r="O182" s="9"/>
    </row>
    <row r="183" spans="1:15" ht="16.5" customHeight="1">
      <c r="A183" s="9"/>
      <c r="C183" s="18" t="s">
        <v>56</v>
      </c>
      <c r="D183" s="19">
        <v>582</v>
      </c>
      <c r="E183" s="19">
        <v>1312</v>
      </c>
      <c r="F183" s="19"/>
      <c r="G183" s="19">
        <v>12376</v>
      </c>
      <c r="H183" s="19">
        <v>45385</v>
      </c>
      <c r="I183" s="19">
        <v>40462</v>
      </c>
      <c r="J183" s="19">
        <v>35817</v>
      </c>
      <c r="K183" s="19">
        <v>7093</v>
      </c>
      <c r="L183" s="19">
        <v>5503</v>
      </c>
      <c r="M183" s="19">
        <v>624</v>
      </c>
      <c r="O183" s="9"/>
    </row>
    <row r="184" spans="1:15" ht="16.5" customHeight="1">
      <c r="A184" s="9"/>
      <c r="C184" s="18" t="s">
        <v>57</v>
      </c>
      <c r="D184" s="19">
        <v>17340</v>
      </c>
      <c r="E184" s="19">
        <v>17080</v>
      </c>
      <c r="F184" s="19">
        <v>20515</v>
      </c>
      <c r="G184" s="19">
        <v>18059</v>
      </c>
      <c r="H184" s="19">
        <v>21770</v>
      </c>
      <c r="I184" s="19">
        <v>9903</v>
      </c>
      <c r="J184" s="19">
        <v>2332</v>
      </c>
      <c r="K184" s="19">
        <v>2135</v>
      </c>
      <c r="L184" s="19">
        <v>7804</v>
      </c>
      <c r="M184" s="19">
        <v>574</v>
      </c>
      <c r="O184" s="9"/>
    </row>
    <row r="185" spans="1:15" ht="16.5" customHeight="1">
      <c r="A185" s="9"/>
      <c r="C185" s="18" t="s">
        <v>58</v>
      </c>
      <c r="D185" s="19">
        <v>2124</v>
      </c>
      <c r="E185" s="19">
        <v>6530</v>
      </c>
      <c r="F185" s="19">
        <v>7630</v>
      </c>
      <c r="G185" s="19">
        <v>9243</v>
      </c>
      <c r="H185" s="19">
        <v>4738</v>
      </c>
      <c r="I185" s="19">
        <v>13577</v>
      </c>
      <c r="J185" s="19">
        <v>795</v>
      </c>
      <c r="K185" s="19">
        <v>2524</v>
      </c>
      <c r="L185" s="19">
        <v>3298</v>
      </c>
      <c r="M185" s="19">
        <v>478</v>
      </c>
      <c r="O185" s="9"/>
    </row>
    <row r="186" spans="1:15" ht="16.5" customHeight="1">
      <c r="A186" s="9"/>
      <c r="C186" s="18" t="s">
        <v>59</v>
      </c>
      <c r="D186" s="19">
        <v>19974</v>
      </c>
      <c r="E186" s="19">
        <v>21131</v>
      </c>
      <c r="F186" s="19">
        <v>18257</v>
      </c>
      <c r="G186" s="19">
        <v>17598</v>
      </c>
      <c r="H186" s="19">
        <v>20113</v>
      </c>
      <c r="I186" s="19">
        <v>59837</v>
      </c>
      <c r="J186" s="19">
        <v>43572</v>
      </c>
      <c r="K186" s="19">
        <v>29220</v>
      </c>
      <c r="L186" s="19">
        <v>30077</v>
      </c>
      <c r="M186" s="19">
        <v>419</v>
      </c>
      <c r="O186" s="9"/>
    </row>
    <row r="187" spans="1:15" ht="16.5" customHeight="1">
      <c r="A187" s="9"/>
      <c r="C187" s="18" t="s">
        <v>60</v>
      </c>
      <c r="D187" s="19">
        <v>1515</v>
      </c>
      <c r="E187" s="19">
        <v>10780</v>
      </c>
      <c r="F187" s="19">
        <v>5921</v>
      </c>
      <c r="G187" s="19">
        <v>3643</v>
      </c>
      <c r="H187" s="19">
        <v>5678</v>
      </c>
      <c r="I187" s="19">
        <v>9270</v>
      </c>
      <c r="J187" s="19">
        <v>12530</v>
      </c>
      <c r="K187" s="19">
        <v>11584</v>
      </c>
      <c r="L187" s="19">
        <v>11166</v>
      </c>
      <c r="M187" s="19">
        <v>378</v>
      </c>
      <c r="O187" s="9"/>
    </row>
    <row r="188" spans="1:15" ht="16.5" customHeight="1">
      <c r="A188" s="9"/>
      <c r="C188" s="18" t="s">
        <v>61</v>
      </c>
      <c r="D188" s="19"/>
      <c r="E188" s="19"/>
      <c r="F188" s="19"/>
      <c r="G188" s="19"/>
      <c r="H188" s="19"/>
      <c r="I188" s="19"/>
      <c r="J188" s="19"/>
      <c r="K188" s="19"/>
      <c r="L188" s="19">
        <v>255</v>
      </c>
      <c r="M188" s="19">
        <v>318</v>
      </c>
      <c r="O188" s="9"/>
    </row>
    <row r="189" spans="1:15" ht="16.5" customHeight="1">
      <c r="A189" s="9"/>
      <c r="C189" s="18" t="s">
        <v>62</v>
      </c>
      <c r="D189" s="19">
        <v>35556</v>
      </c>
      <c r="E189" s="19">
        <v>29056</v>
      </c>
      <c r="F189" s="19">
        <v>28733</v>
      </c>
      <c r="G189" s="19">
        <v>27180</v>
      </c>
      <c r="H189" s="19">
        <v>28497</v>
      </c>
      <c r="I189" s="19">
        <v>28776</v>
      </c>
      <c r="J189" s="19">
        <v>27169</v>
      </c>
      <c r="K189" s="19">
        <v>35131</v>
      </c>
      <c r="L189" s="19">
        <v>17147</v>
      </c>
      <c r="M189" s="19">
        <v>298</v>
      </c>
      <c r="O189" s="9"/>
    </row>
    <row r="190" spans="1:15" ht="16.5" customHeight="1">
      <c r="A190" s="9"/>
      <c r="C190" s="18" t="s">
        <v>63</v>
      </c>
      <c r="D190" s="19">
        <v>5999</v>
      </c>
      <c r="E190" s="19">
        <v>4750</v>
      </c>
      <c r="F190" s="19">
        <v>4876</v>
      </c>
      <c r="G190" s="19">
        <v>5152</v>
      </c>
      <c r="H190" s="19">
        <v>9243</v>
      </c>
      <c r="I190" s="19">
        <v>12028</v>
      </c>
      <c r="J190" s="19">
        <v>6588</v>
      </c>
      <c r="K190" s="19">
        <v>7398</v>
      </c>
      <c r="L190" s="19">
        <v>4748</v>
      </c>
      <c r="M190" s="19">
        <v>293</v>
      </c>
      <c r="O190" s="9"/>
    </row>
    <row r="191" spans="1:15" ht="16.5" customHeight="1">
      <c r="A191" s="9"/>
      <c r="C191" s="18" t="s">
        <v>52</v>
      </c>
      <c r="D191" s="19">
        <v>71192</v>
      </c>
      <c r="E191" s="19">
        <v>103363</v>
      </c>
      <c r="F191" s="19">
        <v>27588</v>
      </c>
      <c r="G191" s="19">
        <v>4846</v>
      </c>
      <c r="H191" s="19">
        <v>6601</v>
      </c>
      <c r="I191" s="19">
        <v>4789</v>
      </c>
      <c r="J191" s="19">
        <v>8035</v>
      </c>
      <c r="K191" s="19">
        <v>7422</v>
      </c>
      <c r="L191" s="19">
        <v>3179</v>
      </c>
      <c r="M191" s="19">
        <v>280</v>
      </c>
      <c r="O191" s="9"/>
    </row>
    <row r="192" spans="1:15" ht="16.5" customHeight="1">
      <c r="A192" s="9"/>
      <c r="C192" s="18" t="s">
        <v>64</v>
      </c>
      <c r="D192" s="19">
        <v>143</v>
      </c>
      <c r="E192" s="19">
        <v>263</v>
      </c>
      <c r="F192" s="19">
        <v>1634</v>
      </c>
      <c r="G192" s="19">
        <v>348</v>
      </c>
      <c r="H192" s="19">
        <v>691</v>
      </c>
      <c r="I192" s="19">
        <v>744</v>
      </c>
      <c r="J192" s="19">
        <v>816</v>
      </c>
      <c r="K192" s="19"/>
      <c r="L192" s="19">
        <v>7380</v>
      </c>
      <c r="M192" s="19">
        <v>254</v>
      </c>
      <c r="O192" s="9"/>
    </row>
    <row r="193" spans="1:15" ht="16.5" customHeight="1">
      <c r="A193" s="9"/>
      <c r="C193" s="18" t="s">
        <v>65</v>
      </c>
      <c r="D193" s="19">
        <v>4324</v>
      </c>
      <c r="E193" s="19">
        <v>3980</v>
      </c>
      <c r="F193" s="19">
        <v>3707</v>
      </c>
      <c r="G193" s="19">
        <v>4626</v>
      </c>
      <c r="H193" s="19">
        <v>4302</v>
      </c>
      <c r="I193" s="19">
        <v>2440</v>
      </c>
      <c r="J193" s="19">
        <v>3795</v>
      </c>
      <c r="K193" s="19">
        <v>3923</v>
      </c>
      <c r="L193" s="19">
        <v>2843</v>
      </c>
      <c r="M193" s="19">
        <v>252</v>
      </c>
      <c r="O193" s="9"/>
    </row>
    <row r="194" spans="1:15" ht="16.5" customHeight="1">
      <c r="A194" s="9"/>
      <c r="C194" s="18" t="s">
        <v>66</v>
      </c>
      <c r="D194" s="19">
        <v>2733</v>
      </c>
      <c r="E194" s="19">
        <v>6048</v>
      </c>
      <c r="F194" s="19">
        <v>2100</v>
      </c>
      <c r="G194" s="19">
        <v>3636</v>
      </c>
      <c r="H194" s="19">
        <v>3892</v>
      </c>
      <c r="I194" s="19">
        <v>5496</v>
      </c>
      <c r="J194" s="19">
        <v>5099</v>
      </c>
      <c r="K194" s="19">
        <v>3678</v>
      </c>
      <c r="L194" s="19">
        <v>6450</v>
      </c>
      <c r="M194" s="19">
        <v>250</v>
      </c>
      <c r="O194" s="9"/>
    </row>
    <row r="195" spans="1:15" ht="16.5" customHeight="1">
      <c r="A195" s="9"/>
      <c r="C195" s="18" t="s">
        <v>67</v>
      </c>
      <c r="D195" s="19">
        <v>8658</v>
      </c>
      <c r="E195" s="19">
        <v>9605</v>
      </c>
      <c r="F195" s="19">
        <v>9264</v>
      </c>
      <c r="G195" s="19">
        <v>10097</v>
      </c>
      <c r="H195" s="19">
        <v>9909</v>
      </c>
      <c r="I195" s="19">
        <v>1149</v>
      </c>
      <c r="J195" s="19">
        <v>173</v>
      </c>
      <c r="K195" s="19">
        <v>211</v>
      </c>
      <c r="L195" s="19">
        <v>232</v>
      </c>
      <c r="M195" s="19">
        <v>209</v>
      </c>
      <c r="O195" s="9"/>
    </row>
    <row r="196" spans="1:15" ht="16.5" customHeight="1">
      <c r="A196" s="9"/>
      <c r="C196" s="18" t="s">
        <v>68</v>
      </c>
      <c r="D196" s="19">
        <v>14653</v>
      </c>
      <c r="E196" s="19">
        <v>11082</v>
      </c>
      <c r="F196" s="19">
        <v>10065</v>
      </c>
      <c r="G196" s="19">
        <v>10806</v>
      </c>
      <c r="H196" s="19">
        <v>8532</v>
      </c>
      <c r="I196" s="19">
        <v>9518</v>
      </c>
      <c r="J196" s="19">
        <v>11324</v>
      </c>
      <c r="K196" s="19">
        <v>8791</v>
      </c>
      <c r="L196" s="19">
        <v>7489</v>
      </c>
      <c r="M196" s="19">
        <v>122</v>
      </c>
      <c r="O196" s="9"/>
    </row>
    <row r="197" spans="1:15" ht="16.5" customHeight="1">
      <c r="A197" s="9"/>
      <c r="C197" s="18" t="s">
        <v>69</v>
      </c>
      <c r="D197" s="19">
        <v>105</v>
      </c>
      <c r="E197" s="19">
        <v>105</v>
      </c>
      <c r="F197" s="19">
        <v>216</v>
      </c>
      <c r="G197" s="19">
        <v>114</v>
      </c>
      <c r="H197" s="19">
        <v>93</v>
      </c>
      <c r="I197" s="19"/>
      <c r="J197" s="19"/>
      <c r="K197" s="19"/>
      <c r="L197" s="19">
        <v>116</v>
      </c>
      <c r="M197" s="19">
        <v>116</v>
      </c>
      <c r="O197" s="9"/>
    </row>
    <row r="198" spans="1:15" ht="16.5" customHeight="1">
      <c r="A198" s="9"/>
      <c r="C198" s="18" t="s">
        <v>70</v>
      </c>
      <c r="D198" s="19">
        <v>3777</v>
      </c>
      <c r="E198" s="19">
        <v>4406</v>
      </c>
      <c r="F198" s="19">
        <v>3858</v>
      </c>
      <c r="G198" s="19">
        <v>4145</v>
      </c>
      <c r="H198" s="19">
        <v>4760</v>
      </c>
      <c r="I198" s="19">
        <v>2649</v>
      </c>
      <c r="J198" s="19">
        <v>1868</v>
      </c>
      <c r="K198" s="19">
        <v>1114</v>
      </c>
      <c r="L198" s="19">
        <v>2378</v>
      </c>
      <c r="M198" s="19">
        <v>104</v>
      </c>
      <c r="O198" s="9"/>
    </row>
    <row r="199" spans="1:15" ht="16.5" customHeight="1">
      <c r="A199" s="9"/>
      <c r="C199" s="18" t="s">
        <v>71</v>
      </c>
      <c r="D199" s="19">
        <v>3141</v>
      </c>
      <c r="E199" s="19">
        <v>3202</v>
      </c>
      <c r="F199" s="19">
        <v>2169</v>
      </c>
      <c r="G199" s="19">
        <v>2061</v>
      </c>
      <c r="H199" s="19">
        <v>2737</v>
      </c>
      <c r="I199" s="19">
        <v>2386</v>
      </c>
      <c r="J199" s="19">
        <v>2901</v>
      </c>
      <c r="K199" s="19">
        <v>6204</v>
      </c>
      <c r="L199" s="19">
        <v>6275</v>
      </c>
      <c r="M199" s="19">
        <v>104</v>
      </c>
      <c r="O199" s="9"/>
    </row>
    <row r="200" spans="1:15" ht="16.5" customHeight="1">
      <c r="A200" s="9"/>
      <c r="C200" s="18" t="s">
        <v>72</v>
      </c>
      <c r="D200" s="19"/>
      <c r="E200" s="19">
        <v>69</v>
      </c>
      <c r="F200" s="19">
        <v>245</v>
      </c>
      <c r="G200" s="19">
        <v>239</v>
      </c>
      <c r="H200" s="19">
        <v>216</v>
      </c>
      <c r="I200" s="19">
        <v>429</v>
      </c>
      <c r="J200" s="19">
        <v>668</v>
      </c>
      <c r="K200" s="19">
        <v>787</v>
      </c>
      <c r="L200" s="19">
        <v>597</v>
      </c>
      <c r="M200" s="19">
        <v>102</v>
      </c>
      <c r="O200" s="9"/>
    </row>
    <row r="201" spans="1:15" ht="16.5" customHeight="1">
      <c r="A201" s="9"/>
      <c r="C201" s="18" t="s">
        <v>73</v>
      </c>
      <c r="D201" s="19">
        <v>15841</v>
      </c>
      <c r="E201" s="19">
        <v>33737</v>
      </c>
      <c r="F201" s="19">
        <v>22737</v>
      </c>
      <c r="G201" s="19">
        <v>21899</v>
      </c>
      <c r="H201" s="19">
        <v>30652</v>
      </c>
      <c r="I201" s="19">
        <v>27611</v>
      </c>
      <c r="J201" s="19">
        <v>30495</v>
      </c>
      <c r="K201" s="19">
        <v>28354</v>
      </c>
      <c r="L201" s="19">
        <v>30047</v>
      </c>
      <c r="M201" s="19">
        <v>95</v>
      </c>
      <c r="O201" s="9"/>
    </row>
    <row r="202" spans="1:15" ht="16.5" customHeight="1">
      <c r="A202" s="9"/>
      <c r="C202" s="18" t="s">
        <v>74</v>
      </c>
      <c r="D202" s="19">
        <v>7912</v>
      </c>
      <c r="E202" s="19">
        <v>5923</v>
      </c>
      <c r="F202" s="19">
        <v>7353</v>
      </c>
      <c r="G202" s="19">
        <v>8981</v>
      </c>
      <c r="H202" s="19">
        <v>7931</v>
      </c>
      <c r="I202" s="19">
        <v>6478</v>
      </c>
      <c r="J202" s="19">
        <v>4927</v>
      </c>
      <c r="K202" s="19">
        <v>5514</v>
      </c>
      <c r="L202" s="19">
        <v>4044</v>
      </c>
      <c r="M202" s="19">
        <v>78</v>
      </c>
      <c r="O202" s="9"/>
    </row>
    <row r="203" spans="1:15" ht="16.5" customHeight="1">
      <c r="A203" s="9"/>
      <c r="C203" s="18" t="s">
        <v>100</v>
      </c>
      <c r="D203" s="19">
        <v>7663</v>
      </c>
      <c r="E203" s="19">
        <v>5836</v>
      </c>
      <c r="F203" s="19">
        <v>7595</v>
      </c>
      <c r="G203" s="19">
        <v>4930</v>
      </c>
      <c r="H203" s="19">
        <v>7225</v>
      </c>
      <c r="I203" s="19">
        <v>2583</v>
      </c>
      <c r="J203" s="19"/>
      <c r="K203" s="19"/>
      <c r="L203" s="19">
        <v>319</v>
      </c>
      <c r="M203" s="19"/>
      <c r="O203" s="9"/>
    </row>
    <row r="204" spans="1:15" ht="16.5" customHeight="1">
      <c r="A204" s="9"/>
      <c r="C204" s="18" t="s">
        <v>101</v>
      </c>
      <c r="D204" s="19">
        <v>839</v>
      </c>
      <c r="E204" s="19">
        <v>794</v>
      </c>
      <c r="F204" s="19">
        <v>382</v>
      </c>
      <c r="G204" s="19"/>
      <c r="H204" s="19">
        <v>514</v>
      </c>
      <c r="I204" s="19">
        <v>479</v>
      </c>
      <c r="J204" s="19"/>
      <c r="K204" s="19"/>
      <c r="L204" s="19"/>
      <c r="M204" s="19"/>
      <c r="O204" s="9"/>
    </row>
    <row r="205" spans="1:15" ht="16.5" customHeight="1">
      <c r="A205" s="9"/>
      <c r="C205" s="18" t="s">
        <v>102</v>
      </c>
      <c r="D205" s="19">
        <v>2839</v>
      </c>
      <c r="E205" s="19">
        <v>2058</v>
      </c>
      <c r="F205" s="19">
        <v>4116</v>
      </c>
      <c r="G205" s="19">
        <v>2184</v>
      </c>
      <c r="H205" s="19">
        <v>2247</v>
      </c>
      <c r="I205" s="19">
        <v>2247</v>
      </c>
      <c r="J205" s="19">
        <v>1498</v>
      </c>
      <c r="K205" s="19"/>
      <c r="L205" s="19"/>
      <c r="M205" s="19"/>
      <c r="O205" s="9"/>
    </row>
    <row r="206" spans="1:15" ht="16.5" customHeight="1">
      <c r="A206" s="9"/>
      <c r="C206" s="18" t="s">
        <v>103</v>
      </c>
      <c r="D206" s="19"/>
      <c r="E206" s="19">
        <v>608</v>
      </c>
      <c r="F206" s="19"/>
      <c r="G206" s="19"/>
      <c r="H206" s="19"/>
      <c r="I206" s="19"/>
      <c r="J206" s="19">
        <v>250</v>
      </c>
      <c r="K206" s="19"/>
      <c r="L206" s="19"/>
      <c r="M206" s="19"/>
      <c r="O206" s="9"/>
    </row>
    <row r="207" spans="1:15" ht="16.5" customHeight="1">
      <c r="A207" s="9"/>
      <c r="C207" s="18" t="s">
        <v>104</v>
      </c>
      <c r="D207" s="19">
        <v>6220</v>
      </c>
      <c r="E207" s="19">
        <v>21701</v>
      </c>
      <c r="F207" s="19">
        <v>28522</v>
      </c>
      <c r="G207" s="19">
        <v>29704</v>
      </c>
      <c r="H207" s="19">
        <v>39765</v>
      </c>
      <c r="I207" s="19">
        <v>1936</v>
      </c>
      <c r="J207" s="19">
        <v>2266</v>
      </c>
      <c r="K207" s="19">
        <v>9266</v>
      </c>
      <c r="L207" s="19">
        <v>2219</v>
      </c>
      <c r="M207" s="19"/>
      <c r="O207" s="9"/>
    </row>
    <row r="208" spans="1:15" ht="16.5" customHeight="1">
      <c r="A208" s="9"/>
      <c r="C208" s="18" t="s">
        <v>105</v>
      </c>
      <c r="D208" s="19">
        <v>1712</v>
      </c>
      <c r="E208" s="19">
        <v>685</v>
      </c>
      <c r="F208" s="19"/>
      <c r="G208" s="19"/>
      <c r="H208" s="19"/>
      <c r="I208" s="19"/>
      <c r="J208" s="19"/>
      <c r="K208" s="19"/>
      <c r="L208" s="19"/>
      <c r="M208" s="19"/>
      <c r="O208" s="9"/>
    </row>
    <row r="209" spans="1:15" ht="16.5" customHeight="1">
      <c r="A209" s="9"/>
      <c r="C209" s="18" t="s">
        <v>106</v>
      </c>
      <c r="D209" s="19">
        <v>300</v>
      </c>
      <c r="E209" s="19"/>
      <c r="F209" s="19"/>
      <c r="G209" s="19"/>
      <c r="H209" s="19"/>
      <c r="I209" s="19"/>
      <c r="J209" s="19"/>
      <c r="K209" s="19"/>
      <c r="L209" s="19"/>
      <c r="M209" s="19"/>
      <c r="O209" s="9"/>
    </row>
    <row r="210" spans="1:15" ht="16.5" customHeight="1">
      <c r="A210" s="9"/>
      <c r="C210" s="18" t="s">
        <v>107</v>
      </c>
      <c r="D210" s="19"/>
      <c r="E210" s="19"/>
      <c r="F210" s="19"/>
      <c r="G210" s="19">
        <v>4</v>
      </c>
      <c r="H210" s="19">
        <v>5</v>
      </c>
      <c r="I210" s="19"/>
      <c r="J210" s="19"/>
      <c r="K210" s="19"/>
      <c r="L210" s="19"/>
      <c r="M210" s="19"/>
      <c r="O210" s="9"/>
    </row>
    <row r="211" spans="1:15" ht="16.5" customHeight="1">
      <c r="A211" s="9"/>
      <c r="C211" s="18" t="s">
        <v>108</v>
      </c>
      <c r="D211" s="19">
        <v>318</v>
      </c>
      <c r="E211" s="19">
        <v>675</v>
      </c>
      <c r="F211" s="19">
        <v>367</v>
      </c>
      <c r="G211" s="19">
        <v>303</v>
      </c>
      <c r="H211" s="19">
        <v>304</v>
      </c>
      <c r="I211" s="19">
        <v>310</v>
      </c>
      <c r="J211" s="19">
        <v>339</v>
      </c>
      <c r="K211" s="19"/>
      <c r="L211" s="19"/>
      <c r="M211" s="19"/>
      <c r="O211" s="9"/>
    </row>
    <row r="212" spans="1:15" ht="16.5" customHeight="1">
      <c r="A212" s="9"/>
      <c r="C212" s="18" t="s">
        <v>75</v>
      </c>
      <c r="D212" s="19">
        <v>9280</v>
      </c>
      <c r="E212" s="19">
        <v>9751</v>
      </c>
      <c r="F212" s="19">
        <v>10847</v>
      </c>
      <c r="G212" s="19">
        <v>12142</v>
      </c>
      <c r="H212" s="19">
        <v>11242</v>
      </c>
      <c r="I212" s="19">
        <v>2888</v>
      </c>
      <c r="J212" s="19">
        <v>627</v>
      </c>
      <c r="K212" s="19">
        <v>1700</v>
      </c>
      <c r="L212" s="19">
        <v>2557</v>
      </c>
      <c r="M212" s="19"/>
      <c r="O212" s="9"/>
    </row>
    <row r="213" spans="1:15" ht="16.5" customHeight="1">
      <c r="A213" s="9"/>
      <c r="C213" s="18" t="s">
        <v>76</v>
      </c>
      <c r="D213" s="19">
        <v>22241</v>
      </c>
      <c r="E213" s="19">
        <v>31011</v>
      </c>
      <c r="F213" s="19">
        <v>16678</v>
      </c>
      <c r="G213" s="19">
        <v>21559</v>
      </c>
      <c r="H213" s="19">
        <v>39992</v>
      </c>
      <c r="I213" s="19">
        <v>73037</v>
      </c>
      <c r="J213" s="19">
        <v>83695</v>
      </c>
      <c r="K213" s="19">
        <v>86280</v>
      </c>
      <c r="L213" s="19">
        <v>69012</v>
      </c>
      <c r="M213" s="19"/>
      <c r="O213" s="9"/>
    </row>
    <row r="214" spans="1:15" ht="16.5" customHeight="1">
      <c r="A214" s="9"/>
      <c r="C214" s="18" t="s">
        <v>77</v>
      </c>
      <c r="D214" s="19">
        <v>267</v>
      </c>
      <c r="E214" s="19">
        <v>637</v>
      </c>
      <c r="F214" s="19">
        <v>241</v>
      </c>
      <c r="G214" s="19">
        <v>254</v>
      </c>
      <c r="H214" s="19">
        <v>282</v>
      </c>
      <c r="I214" s="19">
        <v>116</v>
      </c>
      <c r="J214" s="19">
        <v>96</v>
      </c>
      <c r="K214" s="19">
        <v>212</v>
      </c>
      <c r="L214" s="19">
        <v>99</v>
      </c>
      <c r="M214" s="19"/>
      <c r="O214" s="9"/>
    </row>
    <row r="215" spans="1:15" ht="16.5" customHeight="1">
      <c r="A215" s="9"/>
      <c r="C215" s="18" t="s">
        <v>109</v>
      </c>
      <c r="D215" s="19">
        <v>415</v>
      </c>
      <c r="E215" s="19">
        <v>319</v>
      </c>
      <c r="F215" s="19"/>
      <c r="G215" s="19"/>
      <c r="H215" s="19">
        <v>222</v>
      </c>
      <c r="I215" s="19"/>
      <c r="J215" s="19">
        <v>191</v>
      </c>
      <c r="K215" s="19"/>
      <c r="L215" s="19"/>
      <c r="M215" s="19"/>
      <c r="O215" s="9"/>
    </row>
    <row r="216" spans="1:15" ht="16.5" customHeight="1">
      <c r="A216" s="9"/>
      <c r="C216" s="18" t="s">
        <v>110</v>
      </c>
      <c r="D216" s="19">
        <v>743</v>
      </c>
      <c r="E216" s="19">
        <v>429</v>
      </c>
      <c r="F216" s="19">
        <v>253</v>
      </c>
      <c r="G216" s="19">
        <v>233</v>
      </c>
      <c r="H216" s="19">
        <v>445</v>
      </c>
      <c r="I216" s="19">
        <v>567</v>
      </c>
      <c r="J216" s="19"/>
      <c r="K216" s="19"/>
      <c r="L216" s="19"/>
      <c r="M216" s="19"/>
      <c r="O216" s="9"/>
    </row>
    <row r="217" spans="1:15" ht="16.5" customHeight="1">
      <c r="A217" s="9"/>
      <c r="C217" s="18" t="s">
        <v>78</v>
      </c>
      <c r="D217" s="19">
        <v>382</v>
      </c>
      <c r="E217" s="19">
        <v>1235</v>
      </c>
      <c r="F217" s="19">
        <v>1373</v>
      </c>
      <c r="G217" s="19">
        <v>670</v>
      </c>
      <c r="H217" s="19">
        <v>580</v>
      </c>
      <c r="I217" s="19">
        <v>312</v>
      </c>
      <c r="J217" s="19">
        <v>642</v>
      </c>
      <c r="K217" s="19">
        <v>321</v>
      </c>
      <c r="L217" s="19"/>
      <c r="M217" s="19"/>
      <c r="O217" s="9"/>
    </row>
    <row r="218" spans="1:15" ht="16.5" customHeight="1">
      <c r="A218" s="9"/>
      <c r="C218" s="18" t="s">
        <v>79</v>
      </c>
      <c r="D218" s="19">
        <v>272</v>
      </c>
      <c r="E218" s="19">
        <v>817</v>
      </c>
      <c r="F218" s="19">
        <v>474</v>
      </c>
      <c r="G218" s="19">
        <v>701</v>
      </c>
      <c r="H218" s="19">
        <v>741</v>
      </c>
      <c r="I218" s="19">
        <v>888</v>
      </c>
      <c r="J218" s="19">
        <v>664</v>
      </c>
      <c r="K218" s="19">
        <v>453</v>
      </c>
      <c r="L218" s="19">
        <v>370</v>
      </c>
      <c r="M218" s="19"/>
      <c r="O218" s="9"/>
    </row>
    <row r="219" spans="1:15" ht="16.5" customHeight="1">
      <c r="A219" s="9"/>
      <c r="C219" s="18" t="s">
        <v>111</v>
      </c>
      <c r="D219" s="19"/>
      <c r="E219" s="19">
        <v>3291</v>
      </c>
      <c r="F219" s="19">
        <v>593</v>
      </c>
      <c r="G219" s="19">
        <v>565</v>
      </c>
      <c r="H219" s="19">
        <v>2125</v>
      </c>
      <c r="I219" s="19">
        <v>685</v>
      </c>
      <c r="J219" s="19">
        <v>598</v>
      </c>
      <c r="K219" s="19">
        <v>302</v>
      </c>
      <c r="L219" s="19">
        <v>1014</v>
      </c>
      <c r="M219" s="19"/>
      <c r="O219" s="9"/>
    </row>
    <row r="220" spans="1:15" ht="16.5" customHeight="1">
      <c r="A220" s="9"/>
      <c r="C220" s="18" t="s">
        <v>112</v>
      </c>
      <c r="D220" s="19">
        <v>27369</v>
      </c>
      <c r="E220" s="19">
        <v>24618</v>
      </c>
      <c r="F220" s="19">
        <v>15494</v>
      </c>
      <c r="G220" s="19">
        <v>10836</v>
      </c>
      <c r="H220" s="19">
        <v>9648</v>
      </c>
      <c r="I220" s="19">
        <v>3167</v>
      </c>
      <c r="J220" s="19">
        <v>270</v>
      </c>
      <c r="K220" s="19">
        <v>558</v>
      </c>
      <c r="L220" s="19">
        <v>281</v>
      </c>
      <c r="M220" s="19"/>
      <c r="O220" s="9"/>
    </row>
    <row r="221" spans="1:15" ht="16.5" customHeight="1">
      <c r="A221" s="9"/>
      <c r="C221" s="18" t="s">
        <v>80</v>
      </c>
      <c r="D221" s="19"/>
      <c r="E221" s="19"/>
      <c r="F221" s="19"/>
      <c r="G221" s="19"/>
      <c r="H221" s="19"/>
      <c r="I221" s="19"/>
      <c r="J221" s="19">
        <v>1566</v>
      </c>
      <c r="K221" s="19">
        <v>3620</v>
      </c>
      <c r="L221" s="19"/>
      <c r="M221" s="19"/>
      <c r="O221" s="9"/>
    </row>
    <row r="222" spans="1:15" ht="16.5" customHeight="1">
      <c r="A222" s="9"/>
      <c r="C222" s="18" t="s">
        <v>113</v>
      </c>
      <c r="D222" s="19"/>
      <c r="E222" s="19"/>
      <c r="F222" s="19"/>
      <c r="G222" s="19"/>
      <c r="H222" s="19"/>
      <c r="I222" s="19"/>
      <c r="J222" s="19"/>
      <c r="K222" s="19">
        <v>795</v>
      </c>
      <c r="L222" s="19"/>
      <c r="M222" s="19"/>
      <c r="O222" s="9"/>
    </row>
    <row r="223" spans="1:15" ht="16.5" customHeight="1">
      <c r="A223" s="9"/>
      <c r="C223" s="18" t="s">
        <v>114</v>
      </c>
      <c r="D223" s="19"/>
      <c r="E223" s="19">
        <v>279</v>
      </c>
      <c r="F223" s="19"/>
      <c r="G223" s="19"/>
      <c r="H223" s="19"/>
      <c r="I223" s="19"/>
      <c r="J223" s="19"/>
      <c r="K223" s="19"/>
      <c r="L223" s="19"/>
      <c r="M223" s="19"/>
      <c r="O223" s="9"/>
    </row>
    <row r="224" spans="1:15" ht="16.5" customHeight="1">
      <c r="A224" s="9"/>
      <c r="C224" s="18" t="s">
        <v>81</v>
      </c>
      <c r="D224" s="19">
        <v>258</v>
      </c>
      <c r="E224" s="19">
        <v>241</v>
      </c>
      <c r="F224" s="19">
        <v>140</v>
      </c>
      <c r="G224" s="19">
        <v>257</v>
      </c>
      <c r="H224" s="19">
        <v>174</v>
      </c>
      <c r="I224" s="19">
        <v>47</v>
      </c>
      <c r="J224" s="19">
        <v>55</v>
      </c>
      <c r="K224" s="19">
        <v>255</v>
      </c>
      <c r="L224" s="19">
        <v>634</v>
      </c>
      <c r="M224" s="19"/>
      <c r="O224" s="9"/>
    </row>
    <row r="225" spans="1:15" ht="16.5" customHeight="1">
      <c r="A225" s="9"/>
      <c r="C225" s="18" t="s">
        <v>115</v>
      </c>
      <c r="D225" s="19">
        <v>638</v>
      </c>
      <c r="E225" s="19"/>
      <c r="F225" s="19">
        <v>904</v>
      </c>
      <c r="G225" s="19">
        <v>638</v>
      </c>
      <c r="H225" s="19"/>
      <c r="I225" s="19"/>
      <c r="J225" s="19"/>
      <c r="K225" s="19"/>
      <c r="L225" s="19"/>
      <c r="M225" s="19"/>
      <c r="O225" s="9"/>
    </row>
    <row r="226" spans="1:15" ht="16.5" customHeight="1">
      <c r="A226" s="9"/>
      <c r="C226" s="18" t="s">
        <v>116</v>
      </c>
      <c r="D226" s="19">
        <v>5922</v>
      </c>
      <c r="E226" s="19">
        <v>3529</v>
      </c>
      <c r="F226" s="19">
        <v>4624</v>
      </c>
      <c r="G226" s="19">
        <v>5506</v>
      </c>
      <c r="H226" s="19">
        <v>6403</v>
      </c>
      <c r="I226" s="19">
        <v>4969</v>
      </c>
      <c r="J226" s="19">
        <v>7413</v>
      </c>
      <c r="K226" s="19">
        <v>3774</v>
      </c>
      <c r="L226" s="19">
        <v>4400</v>
      </c>
      <c r="M226" s="19"/>
      <c r="O226" s="9"/>
    </row>
    <row r="227" spans="1:15" ht="16.5" customHeight="1">
      <c r="A227" s="9"/>
      <c r="C227" s="18" t="s">
        <v>117</v>
      </c>
      <c r="D227" s="19">
        <v>678</v>
      </c>
      <c r="E227" s="19">
        <v>305</v>
      </c>
      <c r="F227" s="19">
        <v>330</v>
      </c>
      <c r="G227" s="19"/>
      <c r="H227" s="19">
        <v>327</v>
      </c>
      <c r="I227" s="19"/>
      <c r="J227" s="19"/>
      <c r="K227" s="19"/>
      <c r="L227" s="19">
        <v>129</v>
      </c>
      <c r="M227" s="19"/>
      <c r="O227" s="9"/>
    </row>
    <row r="228" spans="1:15" ht="16.5" customHeight="1">
      <c r="A228" s="9"/>
      <c r="C228" s="18" t="s">
        <v>118</v>
      </c>
      <c r="D228" s="19"/>
      <c r="E228" s="19"/>
      <c r="F228" s="19"/>
      <c r="G228" s="19"/>
      <c r="H228" s="19">
        <v>499</v>
      </c>
      <c r="I228" s="19"/>
      <c r="J228" s="19"/>
      <c r="K228" s="19"/>
      <c r="L228" s="19"/>
      <c r="M228" s="19"/>
      <c r="O228" s="9"/>
    </row>
    <row r="229" spans="1:15" ht="16.5" customHeight="1">
      <c r="A229" s="9"/>
      <c r="C229" s="18" t="s">
        <v>82</v>
      </c>
      <c r="D229" s="19">
        <v>12085</v>
      </c>
      <c r="E229" s="19">
        <v>7050</v>
      </c>
      <c r="F229" s="19">
        <v>7813</v>
      </c>
      <c r="G229" s="19">
        <v>6602</v>
      </c>
      <c r="H229" s="19">
        <v>2085</v>
      </c>
      <c r="I229" s="19">
        <v>3411</v>
      </c>
      <c r="J229" s="19">
        <v>3132</v>
      </c>
      <c r="K229" s="19">
        <v>2716</v>
      </c>
      <c r="L229" s="19">
        <v>2661</v>
      </c>
      <c r="M229" s="19"/>
      <c r="O229" s="9"/>
    </row>
    <row r="230" spans="1:15" ht="16.5" customHeight="1">
      <c r="A230" s="9"/>
      <c r="C230" s="18" t="s">
        <v>83</v>
      </c>
      <c r="D230" s="19">
        <v>87</v>
      </c>
      <c r="E230" s="19">
        <v>86</v>
      </c>
      <c r="F230" s="19"/>
      <c r="G230" s="19">
        <v>1604</v>
      </c>
      <c r="H230" s="19"/>
      <c r="I230" s="19"/>
      <c r="J230" s="19">
        <v>2101</v>
      </c>
      <c r="K230" s="19">
        <v>1850</v>
      </c>
      <c r="L230" s="19">
        <v>1208</v>
      </c>
      <c r="M230" s="19"/>
      <c r="O230" s="9"/>
    </row>
    <row r="231" spans="1:15" ht="16.5" customHeight="1">
      <c r="A231" s="9"/>
      <c r="C231" s="18" t="s">
        <v>119</v>
      </c>
      <c r="D231" s="19"/>
      <c r="E231" s="19">
        <v>114</v>
      </c>
      <c r="F231" s="19"/>
      <c r="G231" s="19"/>
      <c r="H231" s="19"/>
      <c r="I231" s="19">
        <v>106</v>
      </c>
      <c r="J231" s="19"/>
      <c r="K231" s="19"/>
      <c r="L231" s="19"/>
      <c r="M231" s="19"/>
      <c r="O231" s="9"/>
    </row>
    <row r="232" spans="1:15" ht="16.5" customHeight="1">
      <c r="A232" s="9"/>
      <c r="C232" s="18" t="s">
        <v>84</v>
      </c>
      <c r="D232" s="19">
        <v>362</v>
      </c>
      <c r="E232" s="19">
        <v>359</v>
      </c>
      <c r="F232" s="19">
        <v>448</v>
      </c>
      <c r="G232" s="19"/>
      <c r="H232" s="19">
        <v>724</v>
      </c>
      <c r="I232" s="19">
        <v>883</v>
      </c>
      <c r="J232" s="19">
        <v>2092</v>
      </c>
      <c r="K232" s="19">
        <v>1032</v>
      </c>
      <c r="L232" s="19"/>
      <c r="M232" s="19"/>
      <c r="O232" s="9"/>
    </row>
    <row r="233" spans="1:15" ht="16.5" customHeight="1">
      <c r="A233" s="9"/>
      <c r="C233" s="18" t="s">
        <v>120</v>
      </c>
      <c r="D233" s="19">
        <v>153</v>
      </c>
      <c r="E233" s="19">
        <v>309</v>
      </c>
      <c r="F233" s="19">
        <v>343</v>
      </c>
      <c r="G233" s="19">
        <v>305</v>
      </c>
      <c r="H233" s="19"/>
      <c r="I233" s="19"/>
      <c r="J233" s="19"/>
      <c r="K233" s="19"/>
      <c r="L233" s="19"/>
      <c r="M233" s="19"/>
      <c r="O233" s="9"/>
    </row>
    <row r="234" spans="1:15" ht="16.5" customHeight="1">
      <c r="A234" s="9"/>
      <c r="C234" s="18" t="s">
        <v>121</v>
      </c>
      <c r="D234" s="19">
        <v>266</v>
      </c>
      <c r="E234" s="19">
        <v>452</v>
      </c>
      <c r="F234" s="19">
        <v>438</v>
      </c>
      <c r="G234" s="19">
        <v>162</v>
      </c>
      <c r="H234" s="19">
        <v>767</v>
      </c>
      <c r="I234" s="19">
        <v>2062</v>
      </c>
      <c r="J234" s="19">
        <v>1047</v>
      </c>
      <c r="K234" s="19">
        <v>164</v>
      </c>
      <c r="L234" s="19"/>
      <c r="M234" s="19"/>
      <c r="O234" s="9"/>
    </row>
    <row r="235" spans="1:15" ht="16.5" customHeight="1">
      <c r="A235" s="9"/>
      <c r="C235" s="18" t="s">
        <v>122</v>
      </c>
      <c r="D235" s="19"/>
      <c r="E235" s="19">
        <v>191</v>
      </c>
      <c r="F235" s="19"/>
      <c r="G235" s="19"/>
      <c r="H235" s="19">
        <v>4</v>
      </c>
      <c r="I235" s="19">
        <v>44</v>
      </c>
      <c r="J235" s="19"/>
      <c r="K235" s="19"/>
      <c r="L235" s="19">
        <v>20091</v>
      </c>
      <c r="M235" s="19"/>
      <c r="O235" s="9"/>
    </row>
    <row r="236" spans="1:15" ht="16.5" customHeight="1">
      <c r="A236" s="9"/>
      <c r="C236" s="18" t="s">
        <v>123</v>
      </c>
      <c r="D236" s="19"/>
      <c r="E236" s="19">
        <v>6209</v>
      </c>
      <c r="F236" s="19">
        <v>4179</v>
      </c>
      <c r="G236" s="19">
        <v>2896</v>
      </c>
      <c r="H236" s="19"/>
      <c r="I236" s="19"/>
      <c r="J236" s="19">
        <v>728</v>
      </c>
      <c r="K236" s="19">
        <v>364</v>
      </c>
      <c r="L236" s="19">
        <v>1437</v>
      </c>
      <c r="M236" s="19"/>
      <c r="O236" s="9"/>
    </row>
    <row r="237" spans="1:15" ht="16.5" customHeight="1">
      <c r="A237" s="9"/>
      <c r="C237" s="18" t="s">
        <v>124</v>
      </c>
      <c r="D237" s="19"/>
      <c r="E237" s="19"/>
      <c r="F237" s="19"/>
      <c r="G237" s="19">
        <v>75</v>
      </c>
      <c r="H237" s="19">
        <v>77</v>
      </c>
      <c r="I237" s="19">
        <v>13</v>
      </c>
      <c r="J237" s="19">
        <v>30</v>
      </c>
      <c r="K237" s="19">
        <v>6</v>
      </c>
      <c r="L237" s="19"/>
      <c r="M237" s="19"/>
      <c r="O237" s="9"/>
    </row>
    <row r="238" spans="1:15" ht="16.5" customHeight="1">
      <c r="A238" s="9"/>
      <c r="C238" s="18" t="s">
        <v>85</v>
      </c>
      <c r="D238" s="19">
        <v>13527</v>
      </c>
      <c r="E238" s="19">
        <v>7491</v>
      </c>
      <c r="F238" s="19">
        <v>7008</v>
      </c>
      <c r="G238" s="19">
        <v>4014</v>
      </c>
      <c r="H238" s="19">
        <v>6375</v>
      </c>
      <c r="I238" s="19">
        <v>1840</v>
      </c>
      <c r="J238" s="19">
        <v>2668</v>
      </c>
      <c r="K238" s="19">
        <v>15421</v>
      </c>
      <c r="L238" s="19">
        <v>2313</v>
      </c>
      <c r="M238" s="19"/>
      <c r="O238" s="9"/>
    </row>
    <row r="239" spans="1:15" ht="16.5" customHeight="1">
      <c r="A239" s="9"/>
      <c r="C239" s="18" t="s">
        <v>125</v>
      </c>
      <c r="D239" s="19">
        <v>460</v>
      </c>
      <c r="E239" s="19">
        <v>569</v>
      </c>
      <c r="F239" s="19">
        <v>245</v>
      </c>
      <c r="G239" s="19">
        <v>310</v>
      </c>
      <c r="H239" s="19">
        <v>426</v>
      </c>
      <c r="I239" s="19"/>
      <c r="J239" s="19"/>
      <c r="K239" s="19">
        <v>252</v>
      </c>
      <c r="L239" s="19">
        <v>255</v>
      </c>
      <c r="M239" s="19"/>
      <c r="O239" s="9"/>
    </row>
    <row r="240" spans="1:15" ht="16.5" customHeight="1">
      <c r="A240" s="9"/>
      <c r="C240" s="18" t="s">
        <v>126</v>
      </c>
      <c r="D240" s="19">
        <v>714</v>
      </c>
      <c r="E240" s="19">
        <v>1181</v>
      </c>
      <c r="F240" s="19">
        <v>718</v>
      </c>
      <c r="G240" s="19"/>
      <c r="H240" s="19"/>
      <c r="I240" s="19"/>
      <c r="J240" s="19">
        <v>881</v>
      </c>
      <c r="K240" s="19">
        <v>627</v>
      </c>
      <c r="L240" s="19">
        <v>1344</v>
      </c>
      <c r="M240" s="19"/>
      <c r="O240" s="9"/>
    </row>
    <row r="241" spans="1:15" ht="16.5" customHeight="1">
      <c r="A241" s="9"/>
      <c r="C241" s="18" t="s">
        <v>86</v>
      </c>
      <c r="D241" s="19">
        <v>811</v>
      </c>
      <c r="E241" s="19">
        <v>1266</v>
      </c>
      <c r="F241" s="19">
        <v>1222</v>
      </c>
      <c r="G241" s="19">
        <v>1630</v>
      </c>
      <c r="H241" s="19">
        <v>1580</v>
      </c>
      <c r="I241" s="19">
        <v>1398</v>
      </c>
      <c r="J241" s="19">
        <v>2782</v>
      </c>
      <c r="K241" s="19">
        <v>2467</v>
      </c>
      <c r="L241" s="19">
        <v>1789</v>
      </c>
      <c r="M241" s="19"/>
      <c r="O241" s="9"/>
    </row>
    <row r="242" spans="1:15" ht="16.5" customHeight="1">
      <c r="A242" s="9"/>
      <c r="C242" s="18" t="s">
        <v>87</v>
      </c>
      <c r="D242" s="19"/>
      <c r="E242" s="19"/>
      <c r="F242" s="19"/>
      <c r="G242" s="19"/>
      <c r="H242" s="19"/>
      <c r="I242" s="19"/>
      <c r="J242" s="19">
        <v>170</v>
      </c>
      <c r="K242" s="19">
        <v>1108</v>
      </c>
      <c r="L242" s="19">
        <v>138</v>
      </c>
      <c r="M242" s="19"/>
      <c r="O242" s="9"/>
    </row>
    <row r="243" spans="1:15" ht="16.5" customHeight="1">
      <c r="A243" s="9"/>
      <c r="C243" s="18" t="s">
        <v>127</v>
      </c>
      <c r="D243" s="19"/>
      <c r="E243" s="19"/>
      <c r="F243" s="19"/>
      <c r="G243" s="19"/>
      <c r="H243" s="19">
        <v>285</v>
      </c>
      <c r="I243" s="19">
        <v>570</v>
      </c>
      <c r="J243" s="19">
        <v>285</v>
      </c>
      <c r="K243" s="19">
        <v>570</v>
      </c>
      <c r="L243" s="19"/>
      <c r="M243" s="19"/>
      <c r="O243" s="9"/>
    </row>
    <row r="244" spans="1:15" ht="16.5" customHeight="1">
      <c r="A244" s="9"/>
      <c r="C244" s="18" t="s">
        <v>128</v>
      </c>
      <c r="D244" s="19">
        <v>524</v>
      </c>
      <c r="E244" s="19">
        <v>586</v>
      </c>
      <c r="F244" s="19">
        <v>250</v>
      </c>
      <c r="G244" s="19">
        <v>202</v>
      </c>
      <c r="H244" s="19"/>
      <c r="I244" s="19"/>
      <c r="J244" s="19"/>
      <c r="K244" s="19"/>
      <c r="L244" s="19"/>
      <c r="M244" s="19"/>
      <c r="O244" s="9"/>
    </row>
    <row r="245" spans="1:15" ht="16.5" customHeight="1">
      <c r="A245" s="9"/>
      <c r="C245" s="18" t="s">
        <v>88</v>
      </c>
      <c r="D245" s="19">
        <v>13153</v>
      </c>
      <c r="E245" s="19">
        <v>14040</v>
      </c>
      <c r="F245" s="19">
        <v>8775</v>
      </c>
      <c r="G245" s="19">
        <v>4534</v>
      </c>
      <c r="H245" s="19">
        <v>3904</v>
      </c>
      <c r="I245" s="19">
        <v>8938</v>
      </c>
      <c r="J245" s="19">
        <v>9342</v>
      </c>
      <c r="K245" s="19">
        <v>5088</v>
      </c>
      <c r="L245" s="19">
        <v>971</v>
      </c>
      <c r="M245" s="19"/>
      <c r="O245" s="9"/>
    </row>
    <row r="246" spans="1:15" ht="16.5" customHeight="1">
      <c r="A246" s="9"/>
      <c r="C246" s="18" t="s">
        <v>89</v>
      </c>
      <c r="D246" s="19">
        <v>2875</v>
      </c>
      <c r="E246" s="19">
        <v>1904</v>
      </c>
      <c r="F246" s="19">
        <v>2618</v>
      </c>
      <c r="G246" s="19">
        <v>2994</v>
      </c>
      <c r="H246" s="19">
        <v>3344</v>
      </c>
      <c r="I246" s="19">
        <v>4415</v>
      </c>
      <c r="J246" s="19">
        <v>5769</v>
      </c>
      <c r="K246" s="19">
        <v>5859</v>
      </c>
      <c r="L246" s="19">
        <v>3666</v>
      </c>
      <c r="M246" s="19"/>
      <c r="O246" s="9"/>
    </row>
    <row r="247" spans="1:15" ht="16.5" customHeight="1">
      <c r="A247" s="9"/>
      <c r="C247" s="18" t="s">
        <v>129</v>
      </c>
      <c r="D247" s="19">
        <v>3010</v>
      </c>
      <c r="E247" s="19">
        <v>3953</v>
      </c>
      <c r="F247" s="19">
        <v>4656</v>
      </c>
      <c r="G247" s="19">
        <v>4975</v>
      </c>
      <c r="H247" s="19">
        <v>6584</v>
      </c>
      <c r="I247" s="19">
        <v>6205</v>
      </c>
      <c r="J247" s="19">
        <v>3829</v>
      </c>
      <c r="K247" s="19">
        <v>559</v>
      </c>
      <c r="L247" s="19">
        <v>606</v>
      </c>
      <c r="M247" s="19"/>
      <c r="O247" s="9"/>
    </row>
    <row r="248" spans="1:15" ht="16.5" customHeight="1">
      <c r="A248" s="9"/>
      <c r="C248" s="18" t="s">
        <v>90</v>
      </c>
      <c r="D248" s="19">
        <v>5055</v>
      </c>
      <c r="E248" s="19">
        <v>6143</v>
      </c>
      <c r="F248" s="19">
        <v>6060</v>
      </c>
      <c r="G248" s="19">
        <v>6668</v>
      </c>
      <c r="H248" s="19">
        <v>6931</v>
      </c>
      <c r="I248" s="19">
        <v>2486</v>
      </c>
      <c r="J248" s="19">
        <v>2436</v>
      </c>
      <c r="K248" s="19">
        <v>1323</v>
      </c>
      <c r="L248" s="19">
        <v>2699</v>
      </c>
      <c r="M248" s="19"/>
      <c r="O248" s="9"/>
    </row>
    <row r="249" spans="1:15" ht="16.5" customHeight="1">
      <c r="A249" s="9"/>
      <c r="C249" s="18" t="s">
        <v>91</v>
      </c>
      <c r="D249" s="19">
        <v>6307</v>
      </c>
      <c r="E249" s="19">
        <v>8584</v>
      </c>
      <c r="F249" s="19">
        <v>2161</v>
      </c>
      <c r="G249" s="19">
        <v>1346</v>
      </c>
      <c r="H249" s="19">
        <v>1515</v>
      </c>
      <c r="I249" s="19">
        <v>1451</v>
      </c>
      <c r="J249" s="19">
        <v>1945</v>
      </c>
      <c r="K249" s="19">
        <v>2421</v>
      </c>
      <c r="L249" s="19">
        <v>2803</v>
      </c>
      <c r="M249" s="19"/>
      <c r="O249" s="9"/>
    </row>
    <row r="250" spans="1:15" ht="16.5" customHeight="1">
      <c r="A250" s="9"/>
      <c r="C250" s="18" t="s">
        <v>130</v>
      </c>
      <c r="D250" s="19"/>
      <c r="E250" s="19"/>
      <c r="F250" s="19"/>
      <c r="G250" s="19"/>
      <c r="H250" s="19"/>
      <c r="I250" s="19"/>
      <c r="J250" s="19"/>
      <c r="K250" s="19">
        <v>13</v>
      </c>
      <c r="L250" s="19"/>
      <c r="M250" s="19"/>
      <c r="O250" s="9"/>
    </row>
    <row r="251" spans="1:15" ht="16.5" customHeight="1">
      <c r="A251" s="9"/>
      <c r="C251" s="18" t="s">
        <v>92</v>
      </c>
      <c r="D251" s="19">
        <v>491</v>
      </c>
      <c r="E251" s="19">
        <v>468</v>
      </c>
      <c r="F251" s="19">
        <v>383</v>
      </c>
      <c r="G251" s="19">
        <v>388</v>
      </c>
      <c r="H251" s="19">
        <v>529</v>
      </c>
      <c r="I251" s="19">
        <v>609</v>
      </c>
      <c r="J251" s="19">
        <v>1274</v>
      </c>
      <c r="K251" s="19">
        <v>1148</v>
      </c>
      <c r="L251" s="19">
        <v>1147</v>
      </c>
      <c r="M251" s="19"/>
      <c r="O251" s="9"/>
    </row>
    <row r="252" spans="1:15" ht="16.5" customHeight="1">
      <c r="A252" s="9"/>
      <c r="C252" s="18" t="s">
        <v>93</v>
      </c>
      <c r="D252" s="19"/>
      <c r="E252" s="19">
        <v>142</v>
      </c>
      <c r="F252" s="19"/>
      <c r="G252" s="19">
        <v>265</v>
      </c>
      <c r="H252" s="19">
        <v>270</v>
      </c>
      <c r="I252" s="19">
        <v>157</v>
      </c>
      <c r="J252" s="19">
        <v>556</v>
      </c>
      <c r="K252" s="19">
        <v>639</v>
      </c>
      <c r="L252" s="19">
        <v>1236</v>
      </c>
      <c r="M252" s="19"/>
      <c r="O252" s="9"/>
    </row>
    <row r="253" spans="1:15" ht="16.5" customHeight="1">
      <c r="A253" s="9"/>
      <c r="C253" s="18" t="s">
        <v>131</v>
      </c>
      <c r="D253" s="19">
        <v>47</v>
      </c>
      <c r="E253" s="19"/>
      <c r="F253" s="19">
        <v>70</v>
      </c>
      <c r="G253" s="19"/>
      <c r="H253" s="19"/>
      <c r="I253" s="19">
        <v>66</v>
      </c>
      <c r="J253" s="19"/>
      <c r="K253" s="19">
        <v>79</v>
      </c>
      <c r="L253" s="19"/>
      <c r="M253" s="19"/>
      <c r="O253" s="9"/>
    </row>
    <row r="254" spans="1:15" ht="16.5" customHeight="1">
      <c r="A254" s="9"/>
      <c r="C254" s="18" t="s">
        <v>132</v>
      </c>
      <c r="D254" s="19">
        <v>1000</v>
      </c>
      <c r="E254" s="19">
        <v>1361</v>
      </c>
      <c r="F254" s="19">
        <v>250</v>
      </c>
      <c r="G254" s="19">
        <v>500</v>
      </c>
      <c r="H254" s="19">
        <v>250</v>
      </c>
      <c r="I254" s="19">
        <v>319</v>
      </c>
      <c r="J254" s="19"/>
      <c r="K254" s="19"/>
      <c r="L254" s="19"/>
      <c r="M254" s="19"/>
      <c r="O254" s="9"/>
    </row>
    <row r="255" spans="1:15" ht="16.5" customHeight="1">
      <c r="A255" s="9"/>
      <c r="C255" s="18" t="s">
        <v>133</v>
      </c>
      <c r="D255" s="19">
        <v>2048</v>
      </c>
      <c r="E255" s="19">
        <v>2001</v>
      </c>
      <c r="F255" s="19">
        <v>272</v>
      </c>
      <c r="G255" s="19">
        <v>667</v>
      </c>
      <c r="H255" s="19">
        <v>243</v>
      </c>
      <c r="I255" s="19"/>
      <c r="J255" s="19">
        <v>2730</v>
      </c>
      <c r="K255" s="19"/>
      <c r="L255" s="19"/>
      <c r="M255" s="19"/>
      <c r="O255" s="9"/>
    </row>
    <row r="256" spans="1:15" ht="16.5" customHeight="1">
      <c r="A256" s="9"/>
      <c r="C256" s="18" t="s">
        <v>134</v>
      </c>
      <c r="D256" s="19"/>
      <c r="E256" s="19"/>
      <c r="F256" s="19"/>
      <c r="G256" s="19"/>
      <c r="H256" s="19"/>
      <c r="I256" s="19"/>
      <c r="J256" s="19"/>
      <c r="K256" s="19"/>
      <c r="L256" s="19">
        <v>107</v>
      </c>
      <c r="M256" s="19"/>
      <c r="O256" s="9"/>
    </row>
    <row r="257" spans="1:15" ht="16.5" customHeight="1">
      <c r="A257" s="9"/>
      <c r="C257" s="18" t="s">
        <v>135</v>
      </c>
      <c r="D257" s="19">
        <v>78</v>
      </c>
      <c r="E257" s="19">
        <v>153</v>
      </c>
      <c r="F257" s="19"/>
      <c r="G257" s="19">
        <v>150</v>
      </c>
      <c r="H257" s="19">
        <v>153</v>
      </c>
      <c r="I257" s="19"/>
      <c r="J257" s="19">
        <v>612</v>
      </c>
      <c r="K257" s="19"/>
      <c r="L257" s="19">
        <v>391</v>
      </c>
      <c r="M257" s="19"/>
      <c r="O257" s="9"/>
    </row>
    <row r="258" spans="1:15" ht="16.5" customHeight="1">
      <c r="A258" s="9"/>
      <c r="C258" s="18" t="s">
        <v>136</v>
      </c>
      <c r="D258" s="19">
        <v>5003</v>
      </c>
      <c r="E258" s="19">
        <v>16128</v>
      </c>
      <c r="F258" s="19">
        <v>8821</v>
      </c>
      <c r="G258" s="19"/>
      <c r="H258" s="19"/>
      <c r="I258" s="19"/>
      <c r="J258" s="19">
        <v>454</v>
      </c>
      <c r="K258" s="19"/>
      <c r="L258" s="19"/>
      <c r="M258" s="19"/>
      <c r="O258" s="9"/>
    </row>
    <row r="259" spans="1:15" ht="16.5" customHeight="1">
      <c r="A259" s="9"/>
      <c r="C259" s="18" t="s">
        <v>94</v>
      </c>
      <c r="D259" s="19">
        <v>524</v>
      </c>
      <c r="E259" s="19">
        <v>797</v>
      </c>
      <c r="F259" s="19">
        <v>781</v>
      </c>
      <c r="G259" s="19">
        <v>849</v>
      </c>
      <c r="H259" s="19">
        <v>764</v>
      </c>
      <c r="I259" s="19">
        <v>983</v>
      </c>
      <c r="J259" s="19"/>
      <c r="K259" s="19">
        <v>660</v>
      </c>
      <c r="L259" s="19">
        <v>660</v>
      </c>
      <c r="M259" s="19"/>
      <c r="O259" s="9"/>
    </row>
    <row r="260" spans="1:15" ht="16.5" customHeight="1">
      <c r="A260" s="9"/>
      <c r="C260" s="18" t="s">
        <v>137</v>
      </c>
      <c r="D260" s="19">
        <v>42</v>
      </c>
      <c r="E260" s="19">
        <v>18</v>
      </c>
      <c r="F260" s="19">
        <v>19</v>
      </c>
      <c r="G260" s="19">
        <v>13</v>
      </c>
      <c r="H260" s="19">
        <v>25</v>
      </c>
      <c r="I260" s="19">
        <v>20</v>
      </c>
      <c r="J260" s="19">
        <v>13</v>
      </c>
      <c r="K260" s="19">
        <v>19</v>
      </c>
      <c r="L260" s="19">
        <v>13</v>
      </c>
      <c r="M260" s="19"/>
      <c r="O260" s="9"/>
    </row>
    <row r="261" spans="1:15" ht="16.5" customHeight="1">
      <c r="A261" s="9"/>
      <c r="C261" s="18" t="s">
        <v>95</v>
      </c>
      <c r="D261" s="19">
        <v>25568</v>
      </c>
      <c r="E261" s="19">
        <v>24086</v>
      </c>
      <c r="F261" s="19">
        <v>24098</v>
      </c>
      <c r="G261" s="19">
        <v>26794</v>
      </c>
      <c r="H261" s="19">
        <v>20450</v>
      </c>
      <c r="I261" s="19">
        <v>26153</v>
      </c>
      <c r="J261" s="19">
        <v>24196</v>
      </c>
      <c r="K261" s="19">
        <v>17060</v>
      </c>
      <c r="L261" s="19">
        <v>19402</v>
      </c>
      <c r="M261" s="19"/>
      <c r="O261" s="9"/>
    </row>
    <row r="262" spans="1:15" ht="16.5" customHeight="1">
      <c r="A262" s="9"/>
      <c r="C262" s="18" t="s">
        <v>138</v>
      </c>
      <c r="D262" s="19">
        <v>142</v>
      </c>
      <c r="E262" s="19">
        <v>243</v>
      </c>
      <c r="F262" s="19">
        <v>142</v>
      </c>
      <c r="G262" s="19"/>
      <c r="H262" s="19"/>
      <c r="I262" s="19"/>
      <c r="J262" s="19"/>
      <c r="K262" s="19"/>
      <c r="L262" s="19"/>
      <c r="M262" s="19"/>
      <c r="O262" s="9"/>
    </row>
    <row r="263" spans="1:15" ht="16.5" customHeight="1">
      <c r="A263" s="9"/>
      <c r="C263" s="18" t="s">
        <v>139</v>
      </c>
      <c r="D263" s="19">
        <v>993</v>
      </c>
      <c r="E263" s="19">
        <v>1691</v>
      </c>
      <c r="F263" s="19">
        <v>225</v>
      </c>
      <c r="G263" s="19">
        <v>1005</v>
      </c>
      <c r="H263" s="19"/>
      <c r="I263" s="19"/>
      <c r="J263" s="19"/>
      <c r="K263" s="19"/>
      <c r="L263" s="19"/>
      <c r="M263" s="19"/>
      <c r="O263" s="9"/>
    </row>
    <row r="264" spans="1:15" ht="16.5" customHeight="1">
      <c r="A264" s="9"/>
      <c r="C264" s="18" t="s">
        <v>96</v>
      </c>
      <c r="D264" s="19">
        <v>52658</v>
      </c>
      <c r="E264" s="19">
        <v>61724</v>
      </c>
      <c r="F264" s="19">
        <v>53849</v>
      </c>
      <c r="G264" s="19">
        <v>23330</v>
      </c>
      <c r="H264" s="19">
        <v>47739</v>
      </c>
      <c r="I264" s="19">
        <v>52444</v>
      </c>
      <c r="J264" s="19">
        <v>70856</v>
      </c>
      <c r="K264" s="19">
        <v>74685</v>
      </c>
      <c r="L264" s="19">
        <v>45157</v>
      </c>
      <c r="M264" s="19"/>
      <c r="O264" s="9"/>
    </row>
    <row r="265" spans="1:15" ht="16.5" customHeight="1">
      <c r="A265" s="9"/>
      <c r="C265" s="18" t="s">
        <v>97</v>
      </c>
      <c r="D265" s="19">
        <v>176340</v>
      </c>
      <c r="E265" s="19">
        <v>199869</v>
      </c>
      <c r="F265" s="19">
        <v>80422</v>
      </c>
      <c r="G265" s="19">
        <v>113045</v>
      </c>
      <c r="H265" s="19">
        <v>140520</v>
      </c>
      <c r="I265" s="19">
        <v>168990</v>
      </c>
      <c r="J265" s="19">
        <v>156042</v>
      </c>
      <c r="K265" s="19">
        <v>23034</v>
      </c>
      <c r="L265" s="19">
        <v>6493</v>
      </c>
      <c r="M265" s="19"/>
      <c r="O265" s="9"/>
    </row>
    <row r="266" spans="1:15" ht="16.5" customHeight="1">
      <c r="A266" s="9"/>
      <c r="C266" s="18" t="s">
        <v>98</v>
      </c>
      <c r="D266" s="19"/>
      <c r="E266" s="19">
        <v>987</v>
      </c>
      <c r="F266" s="19">
        <v>250</v>
      </c>
      <c r="G266" s="19">
        <v>1695</v>
      </c>
      <c r="H266" s="19">
        <v>1023</v>
      </c>
      <c r="I266" s="19">
        <v>1256</v>
      </c>
      <c r="J266" s="19">
        <v>2050</v>
      </c>
      <c r="K266" s="19">
        <v>2964</v>
      </c>
      <c r="L266" s="19">
        <v>3082</v>
      </c>
      <c r="M266" s="19"/>
      <c r="O266" s="9"/>
    </row>
    <row r="267" spans="1:15" ht="16.5" customHeight="1">
      <c r="A267" s="9"/>
      <c r="C267" s="18" t="s">
        <v>140</v>
      </c>
      <c r="D267" s="19">
        <v>2178</v>
      </c>
      <c r="E267" s="19">
        <v>2911</v>
      </c>
      <c r="F267" s="19">
        <v>2043</v>
      </c>
      <c r="G267" s="19">
        <v>2043</v>
      </c>
      <c r="H267" s="19">
        <v>783</v>
      </c>
      <c r="I267" s="19">
        <v>1103</v>
      </c>
      <c r="J267" s="19">
        <v>406</v>
      </c>
      <c r="K267" s="19">
        <v>319</v>
      </c>
      <c r="L267" s="19">
        <v>1881</v>
      </c>
      <c r="M267" s="19"/>
      <c r="O267" s="9"/>
    </row>
    <row r="268" spans="1:15" ht="16.5" customHeight="1">
      <c r="A268" s="9"/>
      <c r="C268" s="18" t="s">
        <v>99</v>
      </c>
      <c r="D268" s="19"/>
      <c r="E268" s="19"/>
      <c r="F268" s="19"/>
      <c r="G268" s="19"/>
      <c r="H268" s="19"/>
      <c r="I268" s="19">
        <v>47</v>
      </c>
      <c r="J268" s="19">
        <v>45</v>
      </c>
      <c r="K268" s="19">
        <v>239</v>
      </c>
      <c r="L268" s="19">
        <v>205</v>
      </c>
      <c r="M268" s="19"/>
      <c r="O268" s="9"/>
    </row>
    <row r="269" spans="1:15" ht="16.5" customHeight="1">
      <c r="A269" s="9"/>
      <c r="C269" s="18" t="s">
        <v>141</v>
      </c>
      <c r="D269" s="19">
        <v>221</v>
      </c>
      <c r="E269" s="19"/>
      <c r="F269" s="19">
        <v>260</v>
      </c>
      <c r="G269" s="19">
        <v>179</v>
      </c>
      <c r="H269" s="19">
        <v>229</v>
      </c>
      <c r="I269" s="19"/>
      <c r="J269" s="19"/>
      <c r="K269" s="19"/>
      <c r="L269" s="19"/>
      <c r="M269" s="19"/>
      <c r="O269" s="9"/>
    </row>
    <row r="270" spans="1:15" ht="16.5" customHeight="1">
      <c r="A270" s="9"/>
      <c r="C270" s="18" t="s">
        <v>142</v>
      </c>
      <c r="D270" s="19">
        <v>250</v>
      </c>
      <c r="E270" s="19">
        <v>1552</v>
      </c>
      <c r="F270" s="19">
        <v>252</v>
      </c>
      <c r="G270" s="19">
        <v>522</v>
      </c>
      <c r="H270" s="19"/>
      <c r="I270" s="19"/>
      <c r="J270" s="19"/>
      <c r="K270" s="19"/>
      <c r="L270" s="19"/>
      <c r="M270" s="19"/>
      <c r="O270" s="9"/>
    </row>
    <row r="271" spans="1:15" ht="16.5" customHeight="1">
      <c r="A271" s="9"/>
      <c r="C271" s="2" t="s">
        <v>8</v>
      </c>
      <c r="D271" s="12">
        <f>SUBTOTAL(109,PaisSacaAnual['[9YA']])</f>
        <v>3534554</v>
      </c>
      <c r="E271" s="12">
        <f>SUBTOTAL(109,PaisSacaAnual['[8YA']])</f>
        <v>3881631</v>
      </c>
      <c r="F271" s="12">
        <f>SUBTOTAL(109,PaisSacaAnual['[7YA']])</f>
        <v>3496800</v>
      </c>
      <c r="G271" s="12">
        <f>SUBTOTAL(109,PaisSacaAnual['[6YA']])</f>
        <v>3725350</v>
      </c>
      <c r="H271" s="12">
        <f>SUBTOTAL(109,PaisSacaAnual['[5YA']])</f>
        <v>3997062</v>
      </c>
      <c r="I271" s="12">
        <f>SUBTOTAL(109,PaisSacaAnual['[4YA']])</f>
        <v>4083556</v>
      </c>
      <c r="J271" s="12">
        <f>SUBTOTAL(109,PaisSacaAnual['[3YA']])</f>
        <v>4093482</v>
      </c>
      <c r="K271" s="12">
        <f>SUBTOTAL(109,PaisSacaAnual['[2YA']])</f>
        <v>3733012</v>
      </c>
      <c r="L271" s="12">
        <f>SUBTOTAL(109,PaisSacaAnual['[LY']])</f>
        <v>3672452</v>
      </c>
      <c r="M271" s="12">
        <f>SUBTOTAL(109,PaisSacaAnual['[CY']])</f>
        <v>293467</v>
      </c>
      <c r="O271" s="9"/>
    </row>
    <row r="272" spans="1:15" ht="16.5" customHeight="1">
      <c r="A272" s="9"/>
      <c r="C272" s="7" t="s">
        <v>9</v>
      </c>
      <c r="O272" s="9"/>
    </row>
    <row r="273" spans="1:15" ht="16.5" customHeight="1">
      <c r="A273" s="9"/>
      <c r="O273" s="9"/>
    </row>
    <row r="274" spans="1:15" ht="16.5" customHeight="1">
      <c r="A274" s="9"/>
      <c r="O274" s="9"/>
    </row>
    <row r="275" spans="1:15" ht="16.5" customHeight="1">
      <c r="A275" s="9"/>
      <c r="C275" s="6" t="s">
        <v>11</v>
      </c>
      <c r="O275" s="9"/>
    </row>
    <row r="276" spans="1:15" ht="16.5" customHeight="1">
      <c r="A276" s="9"/>
      <c r="C276" s="3" t="s">
        <v>13</v>
      </c>
      <c r="D276" s="4" cm="1">
        <f t="array" ref="D276">Periodo[Ano]-9</f>
        <v>2015</v>
      </c>
      <c r="E276" s="4">
        <f>D276+1</f>
        <v>2016</v>
      </c>
      <c r="F276" s="4">
        <f t="shared" ref="F276:M276" si="2">E276+1</f>
        <v>2017</v>
      </c>
      <c r="G276" s="4">
        <f t="shared" si="2"/>
        <v>2018</v>
      </c>
      <c r="H276" s="4">
        <f t="shared" si="2"/>
        <v>2019</v>
      </c>
      <c r="I276" s="4">
        <f t="shared" si="2"/>
        <v>2020</v>
      </c>
      <c r="J276" s="4">
        <f t="shared" si="2"/>
        <v>2021</v>
      </c>
      <c r="K276" s="4">
        <f t="shared" si="2"/>
        <v>2022</v>
      </c>
      <c r="L276" s="4">
        <f t="shared" si="2"/>
        <v>2023</v>
      </c>
      <c r="M276" s="4">
        <f t="shared" si="2"/>
        <v>2024</v>
      </c>
      <c r="O276" s="9"/>
    </row>
    <row r="277" spans="1:15" ht="16.5" customHeight="1">
      <c r="A277" s="9"/>
      <c r="C277" s="18" t="s">
        <v>14</v>
      </c>
      <c r="D277" s="19">
        <v>87237848.420000002</v>
      </c>
      <c r="E277" s="19">
        <v>82149764.349999994</v>
      </c>
      <c r="F277" s="19">
        <v>95760254.064999998</v>
      </c>
      <c r="G277" s="19">
        <v>97255906.920000002</v>
      </c>
      <c r="H277" s="19">
        <v>89677031.299999997</v>
      </c>
      <c r="I277" s="19">
        <v>97074858.969999999</v>
      </c>
      <c r="J277" s="19">
        <v>89138366.189999998</v>
      </c>
      <c r="K277" s="19">
        <v>146401285</v>
      </c>
      <c r="L277" s="19">
        <v>137799273.00999999</v>
      </c>
      <c r="M277" s="19">
        <v>11728159.369999999</v>
      </c>
      <c r="O277" s="9"/>
    </row>
    <row r="278" spans="1:15" ht="16.5" customHeight="1">
      <c r="A278" s="9"/>
      <c r="C278" s="18" t="s">
        <v>15</v>
      </c>
      <c r="D278" s="19">
        <v>13417255.26</v>
      </c>
      <c r="E278" s="19">
        <v>11967269.49</v>
      </c>
      <c r="F278" s="19">
        <v>13144779.779999999</v>
      </c>
      <c r="G278" s="19">
        <v>12015942.390000001</v>
      </c>
      <c r="H278" s="19">
        <v>14838110.01</v>
      </c>
      <c r="I278" s="19">
        <v>14904582.68</v>
      </c>
      <c r="J278" s="19">
        <v>15072840.710000001</v>
      </c>
      <c r="K278" s="19">
        <v>28545165.719999999</v>
      </c>
      <c r="L278" s="19">
        <v>35269331.030000001</v>
      </c>
      <c r="M278" s="19">
        <v>3981090.69</v>
      </c>
      <c r="O278" s="9"/>
    </row>
    <row r="279" spans="1:15" ht="16.5" customHeight="1">
      <c r="A279" s="9"/>
      <c r="C279" s="18" t="s">
        <v>16</v>
      </c>
      <c r="D279" s="19">
        <v>50020768.789999999</v>
      </c>
      <c r="E279" s="19">
        <v>59551192.130000003</v>
      </c>
      <c r="F279" s="19">
        <v>74644315.140000001</v>
      </c>
      <c r="G279" s="19">
        <v>66778095.159999996</v>
      </c>
      <c r="H279" s="19">
        <v>51917346.609999999</v>
      </c>
      <c r="I279" s="19">
        <v>39581706.740000002</v>
      </c>
      <c r="J279" s="19">
        <v>41534135.229999997</v>
      </c>
      <c r="K279" s="19">
        <v>41636842.869999997</v>
      </c>
      <c r="L279" s="19">
        <v>44006241.189999998</v>
      </c>
      <c r="M279" s="19">
        <v>3392038.59</v>
      </c>
      <c r="O279" s="9"/>
    </row>
    <row r="280" spans="1:15" ht="16.5" customHeight="1">
      <c r="A280" s="9"/>
      <c r="C280" s="18" t="s">
        <v>18</v>
      </c>
      <c r="D280" s="19">
        <v>7347812.2699999996</v>
      </c>
      <c r="E280" s="19">
        <v>4070512.2552</v>
      </c>
      <c r="F280" s="19">
        <v>7116660.0800000001</v>
      </c>
      <c r="G280" s="19">
        <v>10638120</v>
      </c>
      <c r="H280" s="19">
        <v>12707591.26</v>
      </c>
      <c r="I280" s="19">
        <v>11098270.08</v>
      </c>
      <c r="J280" s="19">
        <v>15727944.060000001</v>
      </c>
      <c r="K280" s="19">
        <v>13215221.02</v>
      </c>
      <c r="L280" s="19">
        <v>13385435.1</v>
      </c>
      <c r="M280" s="19">
        <v>2679540.73</v>
      </c>
      <c r="O280" s="9"/>
    </row>
    <row r="281" spans="1:15" ht="16.5" customHeight="1">
      <c r="A281" s="9"/>
      <c r="C281" s="18" t="s">
        <v>19</v>
      </c>
      <c r="D281" s="19">
        <v>4758333.03</v>
      </c>
      <c r="E281" s="19">
        <v>2039402.31</v>
      </c>
      <c r="F281" s="19">
        <v>2350133.23</v>
      </c>
      <c r="G281" s="19">
        <v>2644157.27</v>
      </c>
      <c r="H281" s="19">
        <v>1487760.24</v>
      </c>
      <c r="I281" s="19">
        <v>11165165.689999999</v>
      </c>
      <c r="J281" s="19">
        <v>9718158.6500000004</v>
      </c>
      <c r="K281" s="19">
        <v>16862422.629999999</v>
      </c>
      <c r="L281" s="19">
        <v>17358532.969999999</v>
      </c>
      <c r="M281" s="19">
        <v>2602393.75</v>
      </c>
      <c r="O281" s="9"/>
    </row>
    <row r="282" spans="1:15" ht="16.5" customHeight="1">
      <c r="A282" s="9"/>
      <c r="C282" s="18" t="s">
        <v>21</v>
      </c>
      <c r="D282" s="19">
        <v>19834961.789999999</v>
      </c>
      <c r="E282" s="19">
        <v>21422502.239999998</v>
      </c>
      <c r="F282" s="19">
        <v>17131779.02</v>
      </c>
      <c r="G282" s="19">
        <v>11549018.33</v>
      </c>
      <c r="H282" s="19">
        <v>11088270.189999999</v>
      </c>
      <c r="I282" s="19">
        <v>6228319.6399999997</v>
      </c>
      <c r="J282" s="19">
        <v>5022186.8600000003</v>
      </c>
      <c r="K282" s="19">
        <v>20895996.280000001</v>
      </c>
      <c r="L282" s="19">
        <v>14888549.699999999</v>
      </c>
      <c r="M282" s="19">
        <v>2584321.61</v>
      </c>
      <c r="O282" s="9"/>
    </row>
    <row r="283" spans="1:15" ht="16.5" customHeight="1">
      <c r="A283" s="9"/>
      <c r="C283" s="18" t="s">
        <v>20</v>
      </c>
      <c r="D283" s="19">
        <v>64773306.539999999</v>
      </c>
      <c r="E283" s="19">
        <v>82586609.430000007</v>
      </c>
      <c r="F283" s="19">
        <v>89722877.140000001</v>
      </c>
      <c r="G283" s="19">
        <v>76280617.950000003</v>
      </c>
      <c r="H283" s="19">
        <v>60440990.299999997</v>
      </c>
      <c r="I283" s="19">
        <v>54810117.469999999</v>
      </c>
      <c r="J283" s="19">
        <v>52260080.380000003</v>
      </c>
      <c r="K283" s="19">
        <v>20811316.91</v>
      </c>
      <c r="L283" s="19">
        <v>9448915.5399999991</v>
      </c>
      <c r="M283" s="19">
        <v>2319977.4300000002</v>
      </c>
      <c r="O283" s="9"/>
    </row>
    <row r="284" spans="1:15" ht="16.5" customHeight="1">
      <c r="A284" s="9"/>
      <c r="C284" s="18" t="s">
        <v>17</v>
      </c>
      <c r="D284" s="19">
        <v>6784926.9699999997</v>
      </c>
      <c r="E284" s="19">
        <v>12426654.609999999</v>
      </c>
      <c r="F284" s="19">
        <v>10357807.82</v>
      </c>
      <c r="G284" s="19">
        <v>15792771.68</v>
      </c>
      <c r="H284" s="19">
        <v>14231591.74</v>
      </c>
      <c r="I284" s="19">
        <v>15668765.16</v>
      </c>
      <c r="J284" s="19">
        <v>15167326.35</v>
      </c>
      <c r="K284" s="19">
        <v>17465790.48</v>
      </c>
      <c r="L284" s="19">
        <v>25986840.629999999</v>
      </c>
      <c r="M284" s="19">
        <v>1953665.6</v>
      </c>
      <c r="O284" s="9"/>
    </row>
    <row r="285" spans="1:15" ht="16.5" customHeight="1">
      <c r="A285" s="9"/>
      <c r="C285" s="18" t="s">
        <v>24</v>
      </c>
      <c r="D285" s="19">
        <v>16669997.9</v>
      </c>
      <c r="E285" s="19">
        <v>16202299.289999999</v>
      </c>
      <c r="F285" s="19">
        <v>22035915.170000002</v>
      </c>
      <c r="G285" s="19">
        <v>17974180.879999999</v>
      </c>
      <c r="H285" s="19">
        <v>40190829.629600003</v>
      </c>
      <c r="I285" s="19">
        <v>37591412.799999997</v>
      </c>
      <c r="J285" s="19">
        <v>56487027.740000002</v>
      </c>
      <c r="K285" s="19">
        <v>53536017.240699999</v>
      </c>
      <c r="L285" s="19">
        <v>20452248.707800001</v>
      </c>
      <c r="M285" s="19">
        <v>1932368.5556999999</v>
      </c>
      <c r="O285" s="9"/>
    </row>
    <row r="286" spans="1:15" ht="16.5" customHeight="1">
      <c r="A286" s="9"/>
      <c r="C286" s="18" t="s">
        <v>23</v>
      </c>
      <c r="D286" s="19">
        <v>9545704.8000000007</v>
      </c>
      <c r="E286" s="19">
        <v>5894529.1200000001</v>
      </c>
      <c r="F286" s="19">
        <v>6567342.6699999999</v>
      </c>
      <c r="G286" s="19">
        <v>6184864.5499999998</v>
      </c>
      <c r="H286" s="19">
        <v>8172040.4199999999</v>
      </c>
      <c r="I286" s="19">
        <v>4656806.99</v>
      </c>
      <c r="J286" s="19">
        <v>6151605.79</v>
      </c>
      <c r="K286" s="19">
        <v>15129078.451400001</v>
      </c>
      <c r="L286" s="19">
        <v>13395974.595899999</v>
      </c>
      <c r="M286" s="19">
        <v>1736245.4452</v>
      </c>
      <c r="O286" s="9"/>
    </row>
    <row r="287" spans="1:15" ht="16.5" customHeight="1">
      <c r="A287" s="9"/>
      <c r="C287" s="18" t="s">
        <v>22</v>
      </c>
      <c r="D287" s="19">
        <v>25990271.920000002</v>
      </c>
      <c r="E287" s="19">
        <v>23912873.41</v>
      </c>
      <c r="F287" s="19">
        <v>36196630.490000002</v>
      </c>
      <c r="G287" s="19">
        <v>42212296.780000001</v>
      </c>
      <c r="H287" s="19">
        <v>35700978.539999999</v>
      </c>
      <c r="I287" s="19">
        <v>29036749.100000001</v>
      </c>
      <c r="J287" s="19">
        <v>30395686.190000001</v>
      </c>
      <c r="K287" s="19">
        <v>40423208.399999999</v>
      </c>
      <c r="L287" s="19">
        <v>38246883.100000001</v>
      </c>
      <c r="M287" s="19">
        <v>1525838.4</v>
      </c>
      <c r="O287" s="9"/>
    </row>
    <row r="288" spans="1:15" ht="16.5" customHeight="1">
      <c r="A288" s="9"/>
      <c r="C288" s="18" t="s">
        <v>25</v>
      </c>
      <c r="D288" s="19">
        <v>21354316.629999999</v>
      </c>
      <c r="E288" s="19">
        <v>19082377.18</v>
      </c>
      <c r="F288" s="19">
        <v>26143221.100000001</v>
      </c>
      <c r="G288" s="19">
        <v>23169582.52</v>
      </c>
      <c r="H288" s="19">
        <v>18647758.25</v>
      </c>
      <c r="I288" s="19">
        <v>11811450.720000001</v>
      </c>
      <c r="J288" s="19">
        <v>11337584.66</v>
      </c>
      <c r="K288" s="19">
        <v>22355379.710000001</v>
      </c>
      <c r="L288" s="19">
        <v>18204875.84</v>
      </c>
      <c r="M288" s="19">
        <v>1484545.6</v>
      </c>
      <c r="O288" s="9"/>
    </row>
    <row r="289" spans="1:15" ht="16.5" customHeight="1">
      <c r="A289" s="9"/>
      <c r="C289" s="18" t="s">
        <v>28</v>
      </c>
      <c r="D289" s="19">
        <v>3395131.03</v>
      </c>
      <c r="E289" s="19">
        <v>3886077.82</v>
      </c>
      <c r="F289" s="19">
        <v>5144947.72</v>
      </c>
      <c r="G289" s="19">
        <v>3807525.21</v>
      </c>
      <c r="H289" s="19">
        <v>3992108.26</v>
      </c>
      <c r="I289" s="19">
        <v>2061914.75</v>
      </c>
      <c r="J289" s="19">
        <v>4434300.9000000004</v>
      </c>
      <c r="K289" s="19">
        <v>4553725.8899999997</v>
      </c>
      <c r="L289" s="19">
        <v>14308689.01</v>
      </c>
      <c r="M289" s="19">
        <v>1275707.56</v>
      </c>
      <c r="O289" s="9"/>
    </row>
    <row r="290" spans="1:15" ht="16.5" customHeight="1">
      <c r="A290" s="9"/>
      <c r="C290" s="18" t="s">
        <v>26</v>
      </c>
      <c r="D290" s="19">
        <v>13333751.26</v>
      </c>
      <c r="E290" s="19">
        <v>12188117.4</v>
      </c>
      <c r="F290" s="19">
        <v>12376612.82</v>
      </c>
      <c r="G290" s="19">
        <v>12056285.59</v>
      </c>
      <c r="H290" s="19">
        <v>12582624.41</v>
      </c>
      <c r="I290" s="19">
        <v>12661415.210000001</v>
      </c>
      <c r="J290" s="19">
        <v>15920101.91</v>
      </c>
      <c r="K290" s="19">
        <v>16682545.6</v>
      </c>
      <c r="L290" s="19">
        <v>17987393.07</v>
      </c>
      <c r="M290" s="19">
        <v>1274980.5900000001</v>
      </c>
      <c r="O290" s="9"/>
    </row>
    <row r="291" spans="1:15" ht="16.5" customHeight="1">
      <c r="A291" s="9"/>
      <c r="C291" s="18" t="s">
        <v>27</v>
      </c>
      <c r="D291" s="19">
        <v>29282458.23</v>
      </c>
      <c r="E291" s="19">
        <v>27277921.039999999</v>
      </c>
      <c r="F291" s="19">
        <v>32168953.780000001</v>
      </c>
      <c r="G291" s="19">
        <v>32232255.829999998</v>
      </c>
      <c r="H291" s="19">
        <v>26311605.170000002</v>
      </c>
      <c r="I291" s="19">
        <v>27269619.629999999</v>
      </c>
      <c r="J291" s="19">
        <v>34535931.079999998</v>
      </c>
      <c r="K291" s="19">
        <v>43610039.359999999</v>
      </c>
      <c r="L291" s="19">
        <v>52430810.009999998</v>
      </c>
      <c r="M291" s="19">
        <v>1254457.46</v>
      </c>
      <c r="O291" s="9"/>
    </row>
    <row r="292" spans="1:15" ht="16.5" customHeight="1">
      <c r="A292" s="9"/>
      <c r="C292" s="18" t="s">
        <v>29</v>
      </c>
      <c r="D292" s="19">
        <v>556933.4</v>
      </c>
      <c r="E292" s="19">
        <v>230459.47</v>
      </c>
      <c r="F292" s="19"/>
      <c r="G292" s="19">
        <v>704142.78</v>
      </c>
      <c r="H292" s="19">
        <v>819586.53</v>
      </c>
      <c r="I292" s="19">
        <v>1208198.69</v>
      </c>
      <c r="J292" s="19">
        <v>3509987.24</v>
      </c>
      <c r="K292" s="19">
        <v>26139692.969999999</v>
      </c>
      <c r="L292" s="19">
        <v>41711391.840000004</v>
      </c>
      <c r="M292" s="19">
        <v>1166409.94</v>
      </c>
      <c r="O292" s="9"/>
    </row>
    <row r="293" spans="1:15" ht="16.5" customHeight="1">
      <c r="A293" s="9"/>
      <c r="C293" s="18" t="s">
        <v>31</v>
      </c>
      <c r="D293" s="19">
        <v>3317990.37</v>
      </c>
      <c r="E293" s="19">
        <v>3202045.87</v>
      </c>
      <c r="F293" s="19">
        <v>1474681.45</v>
      </c>
      <c r="G293" s="19">
        <v>1265360.6200000001</v>
      </c>
      <c r="H293" s="19">
        <v>1104377.97</v>
      </c>
      <c r="I293" s="19">
        <v>1101892.27</v>
      </c>
      <c r="J293" s="19">
        <v>1564857.61</v>
      </c>
      <c r="K293" s="19">
        <v>1534114.44</v>
      </c>
      <c r="L293" s="19">
        <v>1970596.43</v>
      </c>
      <c r="M293" s="19">
        <v>1054176.6100000001</v>
      </c>
      <c r="O293" s="9"/>
    </row>
    <row r="294" spans="1:15" ht="16.5" customHeight="1">
      <c r="A294" s="9"/>
      <c r="C294" s="18" t="s">
        <v>30</v>
      </c>
      <c r="D294" s="19">
        <v>10274414.48</v>
      </c>
      <c r="E294" s="19">
        <v>15318222.92</v>
      </c>
      <c r="F294" s="19">
        <v>11035346.25</v>
      </c>
      <c r="G294" s="19">
        <v>11050538.470000001</v>
      </c>
      <c r="H294" s="19">
        <v>8603415</v>
      </c>
      <c r="I294" s="19">
        <v>9031017.5099999998</v>
      </c>
      <c r="J294" s="19">
        <v>8603553.5999999996</v>
      </c>
      <c r="K294" s="19">
        <v>5197491.57</v>
      </c>
      <c r="L294" s="19">
        <v>6387454.5099999998</v>
      </c>
      <c r="M294" s="19">
        <v>1011081.95</v>
      </c>
      <c r="O294" s="9"/>
    </row>
    <row r="295" spans="1:15" ht="16.5" customHeight="1">
      <c r="A295" s="9"/>
      <c r="C295" s="18" t="s">
        <v>32</v>
      </c>
      <c r="D295" s="19">
        <v>14950945.390000001</v>
      </c>
      <c r="E295" s="19">
        <v>15358807.050000001</v>
      </c>
      <c r="F295" s="19">
        <v>15787992.65</v>
      </c>
      <c r="G295" s="19">
        <v>14072663.35</v>
      </c>
      <c r="H295" s="19">
        <v>13746164.1</v>
      </c>
      <c r="I295" s="19">
        <v>7819158.8899999997</v>
      </c>
      <c r="J295" s="19">
        <v>7441564.0999999996</v>
      </c>
      <c r="K295" s="19">
        <v>10364610.2137</v>
      </c>
      <c r="L295" s="19">
        <v>10664817.0921</v>
      </c>
      <c r="M295" s="19">
        <v>976872.07220000005</v>
      </c>
      <c r="O295" s="9"/>
    </row>
    <row r="296" spans="1:15" ht="16.5" customHeight="1">
      <c r="A296" s="9"/>
      <c r="C296" s="18" t="s">
        <v>33</v>
      </c>
      <c r="D296" s="19">
        <v>5140952.05</v>
      </c>
      <c r="E296" s="19">
        <v>5694723.0999999996</v>
      </c>
      <c r="F296" s="19">
        <v>6575970.0999999996</v>
      </c>
      <c r="G296" s="19">
        <v>5648891.6799999997</v>
      </c>
      <c r="H296" s="19">
        <v>6518421.7199999997</v>
      </c>
      <c r="I296" s="19">
        <v>6764456.04</v>
      </c>
      <c r="J296" s="19">
        <v>5959644.5800000001</v>
      </c>
      <c r="K296" s="19">
        <v>8468011.1300000008</v>
      </c>
      <c r="L296" s="19">
        <v>8710422.9199999999</v>
      </c>
      <c r="M296" s="19">
        <v>786024.08</v>
      </c>
      <c r="O296" s="9"/>
    </row>
    <row r="297" spans="1:15" ht="16.5" customHeight="1">
      <c r="A297" s="9"/>
      <c r="C297" s="18" t="s">
        <v>36</v>
      </c>
      <c r="D297" s="19">
        <v>11374078.75</v>
      </c>
      <c r="E297" s="19">
        <v>11122590.029999999</v>
      </c>
      <c r="F297" s="19">
        <v>6873082.71</v>
      </c>
      <c r="G297" s="19">
        <v>4693918.2</v>
      </c>
      <c r="H297" s="19">
        <v>8301671.9199999999</v>
      </c>
      <c r="I297" s="19">
        <v>4811278.5199999996</v>
      </c>
      <c r="J297" s="19">
        <v>5459960.5300000003</v>
      </c>
      <c r="K297" s="19">
        <v>2902889.99</v>
      </c>
      <c r="L297" s="19">
        <v>13877631.189999999</v>
      </c>
      <c r="M297" s="19">
        <v>782901</v>
      </c>
      <c r="O297" s="9"/>
    </row>
    <row r="298" spans="1:15" ht="16.5" customHeight="1">
      <c r="A298" s="9"/>
      <c r="C298" s="18" t="s">
        <v>34</v>
      </c>
      <c r="D298" s="19">
        <v>6398041.7199999997</v>
      </c>
      <c r="E298" s="19">
        <v>7384062.4199999999</v>
      </c>
      <c r="F298" s="19">
        <v>7578136.8600000003</v>
      </c>
      <c r="G298" s="19">
        <v>8636557.3300000001</v>
      </c>
      <c r="H298" s="19">
        <v>6614383.9199999999</v>
      </c>
      <c r="I298" s="19">
        <v>5646290.8600000003</v>
      </c>
      <c r="J298" s="19">
        <v>6154157.5999999996</v>
      </c>
      <c r="K298" s="19">
        <v>9405471.5199999996</v>
      </c>
      <c r="L298" s="19">
        <v>6700687.8200000003</v>
      </c>
      <c r="M298" s="19">
        <v>771126.46</v>
      </c>
      <c r="O298" s="9"/>
    </row>
    <row r="299" spans="1:15" ht="16.5" customHeight="1">
      <c r="A299" s="9"/>
      <c r="C299" s="18" t="s">
        <v>35</v>
      </c>
      <c r="D299" s="19">
        <v>1145289.9099999999</v>
      </c>
      <c r="E299" s="19">
        <v>207908.49</v>
      </c>
      <c r="F299" s="19">
        <v>4509513.8600000003</v>
      </c>
      <c r="G299" s="19">
        <v>1844448.19</v>
      </c>
      <c r="H299" s="19">
        <v>410113.6</v>
      </c>
      <c r="I299" s="19">
        <v>473277.89</v>
      </c>
      <c r="J299" s="19">
        <v>547169.88</v>
      </c>
      <c r="K299" s="19">
        <v>748448.84</v>
      </c>
      <c r="L299" s="19">
        <v>7687129.7999999998</v>
      </c>
      <c r="M299" s="19">
        <v>743916.45</v>
      </c>
      <c r="O299" s="9"/>
    </row>
    <row r="300" spans="1:15" ht="16.5" customHeight="1">
      <c r="A300" s="9"/>
      <c r="C300" s="18" t="s">
        <v>37</v>
      </c>
      <c r="D300" s="19">
        <v>11780834.640000001</v>
      </c>
      <c r="E300" s="19">
        <v>7341353.1399999997</v>
      </c>
      <c r="F300" s="19">
        <v>8714772.3000000007</v>
      </c>
      <c r="G300" s="19">
        <v>11949169.59</v>
      </c>
      <c r="H300" s="19">
        <v>17286226.859999999</v>
      </c>
      <c r="I300" s="19">
        <v>11310474.68</v>
      </c>
      <c r="J300" s="19">
        <v>10159598.460000001</v>
      </c>
      <c r="K300" s="19">
        <v>14932075.98</v>
      </c>
      <c r="L300" s="19">
        <v>10835230.42</v>
      </c>
      <c r="M300" s="19">
        <v>652291.19999999995</v>
      </c>
      <c r="O300" s="9"/>
    </row>
    <row r="301" spans="1:15" ht="16.5" customHeight="1">
      <c r="A301" s="9"/>
      <c r="C301" s="18" t="s">
        <v>38</v>
      </c>
      <c r="D301" s="19"/>
      <c r="E301" s="19">
        <v>81861.119999999995</v>
      </c>
      <c r="F301" s="19">
        <v>1756735.5</v>
      </c>
      <c r="G301" s="19">
        <v>1615567.92</v>
      </c>
      <c r="H301" s="19">
        <v>6794904.1100000003</v>
      </c>
      <c r="I301" s="19">
        <v>5442775.7699999996</v>
      </c>
      <c r="J301" s="19">
        <v>3435110.39</v>
      </c>
      <c r="K301" s="19">
        <v>1177649.74</v>
      </c>
      <c r="L301" s="19">
        <v>10317959.51</v>
      </c>
      <c r="M301" s="19">
        <v>470720.48</v>
      </c>
      <c r="O301" s="9"/>
    </row>
    <row r="302" spans="1:15" ht="16.5" customHeight="1">
      <c r="A302" s="9"/>
      <c r="C302" s="18" t="s">
        <v>39</v>
      </c>
      <c r="D302" s="19">
        <v>3019238.55</v>
      </c>
      <c r="E302" s="19">
        <v>1602023</v>
      </c>
      <c r="F302" s="19">
        <v>3059117.2</v>
      </c>
      <c r="G302" s="19">
        <v>3030886.43</v>
      </c>
      <c r="H302" s="19">
        <v>648121.87</v>
      </c>
      <c r="I302" s="19">
        <v>450703.14</v>
      </c>
      <c r="J302" s="19">
        <v>231360</v>
      </c>
      <c r="K302" s="19">
        <v>6086959.3200000003</v>
      </c>
      <c r="L302" s="19">
        <v>2884637.01</v>
      </c>
      <c r="M302" s="19">
        <v>450807.07</v>
      </c>
      <c r="O302" s="9"/>
    </row>
    <row r="303" spans="1:15" ht="16.5" customHeight="1">
      <c r="A303" s="9"/>
      <c r="C303" s="18" t="s">
        <v>44</v>
      </c>
      <c r="D303" s="19">
        <v>5731007.4000000004</v>
      </c>
      <c r="E303" s="19">
        <v>6010298.9800000004</v>
      </c>
      <c r="F303" s="19">
        <v>7781562.6299999999</v>
      </c>
      <c r="G303" s="19">
        <v>5203292.5199999996</v>
      </c>
      <c r="H303" s="19">
        <v>6759351.3200000003</v>
      </c>
      <c r="I303" s="19">
        <v>6569314.2699999996</v>
      </c>
      <c r="J303" s="19">
        <v>6617754.2400000002</v>
      </c>
      <c r="K303" s="19">
        <v>9130759.8100000005</v>
      </c>
      <c r="L303" s="19">
        <v>8044036.6342000002</v>
      </c>
      <c r="M303" s="19">
        <v>442348.38</v>
      </c>
      <c r="O303" s="9"/>
    </row>
    <row r="304" spans="1:15" ht="16.5" customHeight="1">
      <c r="A304" s="9"/>
      <c r="C304" s="18" t="s">
        <v>41</v>
      </c>
      <c r="D304" s="19">
        <v>5276705.0599999996</v>
      </c>
      <c r="E304" s="19">
        <v>5320943.7699999996</v>
      </c>
      <c r="F304" s="19">
        <v>4913957.42</v>
      </c>
      <c r="G304" s="19">
        <v>3518630.07</v>
      </c>
      <c r="H304" s="19">
        <v>3179626.16</v>
      </c>
      <c r="I304" s="19">
        <v>2918371.51</v>
      </c>
      <c r="J304" s="19">
        <v>2780045.29</v>
      </c>
      <c r="K304" s="19">
        <v>4033414.15</v>
      </c>
      <c r="L304" s="19">
        <v>3983495.14</v>
      </c>
      <c r="M304" s="19">
        <v>386407.64</v>
      </c>
      <c r="O304" s="9"/>
    </row>
    <row r="305" spans="1:15" ht="16.5" customHeight="1">
      <c r="A305" s="9"/>
      <c r="C305" s="18" t="s">
        <v>46</v>
      </c>
      <c r="D305" s="19">
        <v>4015200.23</v>
      </c>
      <c r="E305" s="19">
        <v>3318088.22</v>
      </c>
      <c r="F305" s="19">
        <v>3417450.98</v>
      </c>
      <c r="G305" s="19">
        <v>2658618.69</v>
      </c>
      <c r="H305" s="19">
        <v>2293186.34</v>
      </c>
      <c r="I305" s="19">
        <v>2012938.44</v>
      </c>
      <c r="J305" s="19">
        <v>2328315.66</v>
      </c>
      <c r="K305" s="19">
        <v>2949763.64</v>
      </c>
      <c r="L305" s="19">
        <v>3410948</v>
      </c>
      <c r="M305" s="19">
        <v>345884.42</v>
      </c>
      <c r="O305" s="9"/>
    </row>
    <row r="306" spans="1:15" ht="16.5" customHeight="1">
      <c r="A306" s="9"/>
      <c r="C306" s="18" t="s">
        <v>49</v>
      </c>
      <c r="D306" s="19">
        <v>1421149.32</v>
      </c>
      <c r="E306" s="19">
        <v>1267929.54</v>
      </c>
      <c r="F306" s="19">
        <v>880475.94</v>
      </c>
      <c r="G306" s="19">
        <v>1070589.3700000001</v>
      </c>
      <c r="H306" s="19">
        <v>833688.56</v>
      </c>
      <c r="I306" s="19">
        <v>1687952.38</v>
      </c>
      <c r="J306" s="19">
        <v>3240115.9</v>
      </c>
      <c r="K306" s="19">
        <v>6017875.5800000001</v>
      </c>
      <c r="L306" s="19">
        <v>2962004.86</v>
      </c>
      <c r="M306" s="19">
        <v>311902.75</v>
      </c>
      <c r="O306" s="9"/>
    </row>
    <row r="307" spans="1:15" ht="16.5" customHeight="1">
      <c r="A307" s="9"/>
      <c r="C307" s="18" t="s">
        <v>43</v>
      </c>
      <c r="D307" s="19">
        <v>377523</v>
      </c>
      <c r="E307" s="19">
        <v>988827.22</v>
      </c>
      <c r="F307" s="19">
        <v>1025201.56</v>
      </c>
      <c r="G307" s="19">
        <v>445825.35</v>
      </c>
      <c r="H307" s="19">
        <v>1913509.72</v>
      </c>
      <c r="I307" s="19">
        <v>1185765.92</v>
      </c>
      <c r="J307" s="19">
        <v>1618410.77</v>
      </c>
      <c r="K307" s="19">
        <v>2269389.4700000002</v>
      </c>
      <c r="L307" s="19">
        <v>1827240.97</v>
      </c>
      <c r="M307" s="19">
        <v>306686.96000000002</v>
      </c>
      <c r="O307" s="9"/>
    </row>
    <row r="308" spans="1:15" ht="16.5" customHeight="1">
      <c r="A308" s="9"/>
      <c r="C308" s="18" t="s">
        <v>47</v>
      </c>
      <c r="D308" s="19">
        <v>38078.32</v>
      </c>
      <c r="E308" s="19">
        <v>45478.32</v>
      </c>
      <c r="F308" s="19">
        <v>18875.73</v>
      </c>
      <c r="G308" s="19">
        <v>402773.24</v>
      </c>
      <c r="H308" s="19">
        <v>440675.01</v>
      </c>
      <c r="I308" s="19">
        <v>201698.36</v>
      </c>
      <c r="J308" s="19">
        <v>420339.31</v>
      </c>
      <c r="K308" s="19">
        <v>977028.75</v>
      </c>
      <c r="L308" s="19">
        <v>952231.14</v>
      </c>
      <c r="M308" s="19">
        <v>305066.96000000002</v>
      </c>
      <c r="O308" s="9"/>
    </row>
    <row r="309" spans="1:15" ht="16.5" customHeight="1">
      <c r="A309" s="9"/>
      <c r="C309" s="18" t="s">
        <v>42</v>
      </c>
      <c r="D309" s="19">
        <v>4668755.76</v>
      </c>
      <c r="E309" s="19">
        <v>5875675.5899999999</v>
      </c>
      <c r="F309" s="19">
        <v>3189036.54</v>
      </c>
      <c r="G309" s="19">
        <v>2158437.41</v>
      </c>
      <c r="H309" s="19">
        <v>2101083.0699999998</v>
      </c>
      <c r="I309" s="19">
        <v>2549279.7000000002</v>
      </c>
      <c r="J309" s="19">
        <v>2699627.64</v>
      </c>
      <c r="K309" s="19">
        <v>1877815.56</v>
      </c>
      <c r="L309" s="19">
        <v>1977408</v>
      </c>
      <c r="M309" s="19">
        <v>302356.8</v>
      </c>
      <c r="O309" s="9"/>
    </row>
    <row r="310" spans="1:15" ht="16.5" customHeight="1">
      <c r="A310" s="9"/>
      <c r="C310" s="18" t="s">
        <v>40</v>
      </c>
      <c r="D310" s="19">
        <v>2589578.84</v>
      </c>
      <c r="E310" s="19">
        <v>3849157.16</v>
      </c>
      <c r="F310" s="19">
        <v>4498317.62</v>
      </c>
      <c r="G310" s="19">
        <v>4198990.72</v>
      </c>
      <c r="H310" s="19">
        <v>1669997.04</v>
      </c>
      <c r="I310" s="19">
        <v>3110247</v>
      </c>
      <c r="J310" s="19">
        <v>1615795.15</v>
      </c>
      <c r="K310" s="19">
        <v>5943749.6799999997</v>
      </c>
      <c r="L310" s="19">
        <v>5178377.03</v>
      </c>
      <c r="M310" s="19">
        <v>300583.52</v>
      </c>
      <c r="O310" s="9"/>
    </row>
    <row r="311" spans="1:15" ht="16.5" customHeight="1">
      <c r="A311" s="9"/>
      <c r="C311" s="18" t="s">
        <v>45</v>
      </c>
      <c r="D311" s="19">
        <v>1002120.86</v>
      </c>
      <c r="E311" s="19">
        <v>1993562.1</v>
      </c>
      <c r="F311" s="19">
        <v>1163887.5900000001</v>
      </c>
      <c r="G311" s="19">
        <v>1714204.34</v>
      </c>
      <c r="H311" s="19">
        <v>1199253.3500000001</v>
      </c>
      <c r="I311" s="19">
        <v>1062856.3400000001</v>
      </c>
      <c r="J311" s="19">
        <v>2243497.31</v>
      </c>
      <c r="K311" s="19">
        <v>2182679.46</v>
      </c>
      <c r="L311" s="19">
        <v>1871669.16</v>
      </c>
      <c r="M311" s="19">
        <v>244881.3</v>
      </c>
      <c r="O311" s="9"/>
    </row>
    <row r="312" spans="1:15" ht="16.5" customHeight="1">
      <c r="A312" s="9"/>
      <c r="C312" s="18" t="s">
        <v>48</v>
      </c>
      <c r="D312" s="19">
        <v>455820.76</v>
      </c>
      <c r="E312" s="19">
        <v>565942.36</v>
      </c>
      <c r="F312" s="19">
        <v>970549.26</v>
      </c>
      <c r="G312" s="19">
        <v>667130.6</v>
      </c>
      <c r="H312" s="19">
        <v>593014.82999999996</v>
      </c>
      <c r="I312" s="19">
        <v>742995.58</v>
      </c>
      <c r="J312" s="19">
        <v>518419.37</v>
      </c>
      <c r="K312" s="19">
        <v>619728.21</v>
      </c>
      <c r="L312" s="19">
        <v>879427.40599999996</v>
      </c>
      <c r="M312" s="19">
        <v>212932.8</v>
      </c>
      <c r="O312" s="9"/>
    </row>
    <row r="313" spans="1:15" ht="16.5" customHeight="1">
      <c r="A313" s="9"/>
      <c r="C313" s="18" t="s">
        <v>51</v>
      </c>
      <c r="D313" s="19">
        <v>286088.39</v>
      </c>
      <c r="E313" s="19">
        <v>294138.05</v>
      </c>
      <c r="F313" s="19">
        <v>402162.61</v>
      </c>
      <c r="G313" s="19">
        <v>409389.89</v>
      </c>
      <c r="H313" s="19">
        <v>323258.09000000003</v>
      </c>
      <c r="I313" s="19">
        <v>257848.25</v>
      </c>
      <c r="J313" s="19">
        <v>247557.45</v>
      </c>
      <c r="K313" s="19">
        <v>422572.92</v>
      </c>
      <c r="L313" s="19">
        <v>1050125.81</v>
      </c>
      <c r="M313" s="19">
        <v>181634.92</v>
      </c>
      <c r="O313" s="9"/>
    </row>
    <row r="314" spans="1:15" ht="16.5" customHeight="1">
      <c r="A314" s="9"/>
      <c r="C314" s="18" t="s">
        <v>54</v>
      </c>
      <c r="D314" s="19">
        <v>1120343.04</v>
      </c>
      <c r="E314" s="19">
        <v>1650220.8</v>
      </c>
      <c r="F314" s="19">
        <v>673021.43999999994</v>
      </c>
      <c r="G314" s="19">
        <v>667738.92000000004</v>
      </c>
      <c r="H314" s="19">
        <v>872284.07</v>
      </c>
      <c r="I314" s="19">
        <v>858881.62</v>
      </c>
      <c r="J314" s="19">
        <v>696894.2</v>
      </c>
      <c r="K314" s="19">
        <v>1019673.61</v>
      </c>
      <c r="L314" s="19">
        <v>847104.18</v>
      </c>
      <c r="M314" s="19">
        <v>176561.86</v>
      </c>
      <c r="O314" s="9"/>
    </row>
    <row r="315" spans="1:15" ht="16.5" customHeight="1">
      <c r="A315" s="9"/>
      <c r="C315" s="18" t="s">
        <v>53</v>
      </c>
      <c r="D315" s="19">
        <v>1653129.6</v>
      </c>
      <c r="E315" s="19">
        <v>1788633.16</v>
      </c>
      <c r="F315" s="19">
        <v>1429829.72</v>
      </c>
      <c r="G315" s="19">
        <v>1454749.46</v>
      </c>
      <c r="H315" s="19">
        <v>1597890.47</v>
      </c>
      <c r="I315" s="19">
        <v>815063.66</v>
      </c>
      <c r="J315" s="19">
        <v>1063497.22</v>
      </c>
      <c r="K315" s="19">
        <v>706451.54870000004</v>
      </c>
      <c r="L315" s="19">
        <v>1114804.7248</v>
      </c>
      <c r="M315" s="19">
        <v>167804.55840000001</v>
      </c>
      <c r="O315" s="9"/>
    </row>
    <row r="316" spans="1:15" ht="16.5" customHeight="1">
      <c r="A316" s="9"/>
      <c r="C316" s="18" t="s">
        <v>55</v>
      </c>
      <c r="D316" s="19">
        <v>710688.9</v>
      </c>
      <c r="E316" s="19">
        <v>1251886.6200000001</v>
      </c>
      <c r="F316" s="19">
        <v>1088209.18</v>
      </c>
      <c r="G316" s="19">
        <v>975823.26</v>
      </c>
      <c r="H316" s="19">
        <v>1149704.6399999999</v>
      </c>
      <c r="I316" s="19">
        <v>1030032.72</v>
      </c>
      <c r="J316" s="19">
        <v>760785.12</v>
      </c>
      <c r="K316" s="19">
        <v>1478856.96</v>
      </c>
      <c r="L316" s="19">
        <v>706682.88</v>
      </c>
      <c r="M316" s="19">
        <v>160479.35999999999</v>
      </c>
      <c r="O316" s="9"/>
    </row>
    <row r="317" spans="1:15" ht="16.5" customHeight="1">
      <c r="A317" s="9"/>
      <c r="C317" s="18" t="s">
        <v>52</v>
      </c>
      <c r="D317" s="19">
        <v>9283298.9000000004</v>
      </c>
      <c r="E317" s="19">
        <v>13621550.460000001</v>
      </c>
      <c r="F317" s="19">
        <v>4994588.5209999997</v>
      </c>
      <c r="G317" s="19">
        <v>587308.14</v>
      </c>
      <c r="H317" s="19">
        <v>710139.31</v>
      </c>
      <c r="I317" s="19">
        <v>439481.71</v>
      </c>
      <c r="J317" s="19">
        <v>874896.02</v>
      </c>
      <c r="K317" s="19">
        <v>1152890.33</v>
      </c>
      <c r="L317" s="19">
        <v>471547.86</v>
      </c>
      <c r="M317" s="19">
        <v>145886.39999999999</v>
      </c>
      <c r="O317" s="9"/>
    </row>
    <row r="318" spans="1:15" ht="16.5" customHeight="1">
      <c r="A318" s="9"/>
      <c r="C318" s="18" t="s">
        <v>57</v>
      </c>
      <c r="D318" s="19">
        <v>3230463.92</v>
      </c>
      <c r="E318" s="19">
        <v>3067343.61</v>
      </c>
      <c r="F318" s="19">
        <v>4306367.62</v>
      </c>
      <c r="G318" s="19">
        <v>3361694.68</v>
      </c>
      <c r="H318" s="19">
        <v>3265272.44</v>
      </c>
      <c r="I318" s="19">
        <v>1224562.2</v>
      </c>
      <c r="J318" s="19">
        <v>313017.34000000003</v>
      </c>
      <c r="K318" s="19">
        <v>292624.73379999999</v>
      </c>
      <c r="L318" s="19">
        <v>1709101.1573000001</v>
      </c>
      <c r="M318" s="19">
        <v>129026.7412</v>
      </c>
      <c r="O318" s="9"/>
    </row>
    <row r="319" spans="1:15" ht="16.5" customHeight="1">
      <c r="A319" s="9"/>
      <c r="C319" s="18" t="s">
        <v>56</v>
      </c>
      <c r="D319" s="19">
        <v>75317.759999999995</v>
      </c>
      <c r="E319" s="19">
        <v>180562.92</v>
      </c>
      <c r="F319" s="19"/>
      <c r="G319" s="19">
        <v>1473621.74</v>
      </c>
      <c r="H319" s="19">
        <v>5222568.6100000003</v>
      </c>
      <c r="I319" s="19">
        <v>4412817.33</v>
      </c>
      <c r="J319" s="19">
        <v>4007461.76</v>
      </c>
      <c r="K319" s="19">
        <v>953427.1</v>
      </c>
      <c r="L319" s="19">
        <v>1176960.56</v>
      </c>
      <c r="M319" s="19">
        <v>127713.60000000001</v>
      </c>
      <c r="O319" s="9"/>
    </row>
    <row r="320" spans="1:15" ht="16.5" customHeight="1">
      <c r="A320" s="9"/>
      <c r="C320" s="18" t="s">
        <v>50</v>
      </c>
      <c r="D320" s="19">
        <v>1244190.33</v>
      </c>
      <c r="E320" s="19">
        <v>1174432.28</v>
      </c>
      <c r="F320" s="19">
        <v>847283.26</v>
      </c>
      <c r="G320" s="19">
        <v>831371.74</v>
      </c>
      <c r="H320" s="19">
        <v>479456.88</v>
      </c>
      <c r="I320" s="19">
        <v>571191.28</v>
      </c>
      <c r="J320" s="19">
        <v>3346576.36</v>
      </c>
      <c r="K320" s="19">
        <v>1764481.65</v>
      </c>
      <c r="L320" s="19">
        <v>752812.62</v>
      </c>
      <c r="M320" s="19">
        <v>112854</v>
      </c>
      <c r="O320" s="9"/>
    </row>
    <row r="321" spans="1:15" ht="16.5" customHeight="1">
      <c r="A321" s="9"/>
      <c r="C321" s="18" t="s">
        <v>58</v>
      </c>
      <c r="D321" s="19">
        <v>363534.65</v>
      </c>
      <c r="E321" s="19">
        <v>1157616.18</v>
      </c>
      <c r="F321" s="19">
        <v>1644811.12</v>
      </c>
      <c r="G321" s="19">
        <v>1637504.44</v>
      </c>
      <c r="H321" s="19">
        <v>737458.7</v>
      </c>
      <c r="I321" s="19">
        <v>1734484.74</v>
      </c>
      <c r="J321" s="19">
        <v>105767.64</v>
      </c>
      <c r="K321" s="19">
        <v>495872.3</v>
      </c>
      <c r="L321" s="19">
        <v>706479.48</v>
      </c>
      <c r="M321" s="19">
        <v>103721.2</v>
      </c>
      <c r="O321" s="9"/>
    </row>
    <row r="322" spans="1:15" ht="16.5" customHeight="1">
      <c r="A322" s="9"/>
      <c r="C322" s="18" t="s">
        <v>62</v>
      </c>
      <c r="D322" s="19">
        <v>4905814.01</v>
      </c>
      <c r="E322" s="19">
        <v>4096626.5550000002</v>
      </c>
      <c r="F322" s="19">
        <v>4891094.78</v>
      </c>
      <c r="G322" s="19">
        <v>3978554.34</v>
      </c>
      <c r="H322" s="19">
        <v>3598213.96</v>
      </c>
      <c r="I322" s="19">
        <v>3014795.98</v>
      </c>
      <c r="J322" s="19">
        <v>3011638.38</v>
      </c>
      <c r="K322" s="19">
        <v>5280063.82</v>
      </c>
      <c r="L322" s="19">
        <v>3236519.48</v>
      </c>
      <c r="M322" s="19">
        <v>81256.34</v>
      </c>
      <c r="O322" s="9"/>
    </row>
    <row r="323" spans="1:15" ht="16.5" customHeight="1">
      <c r="A323" s="9"/>
      <c r="C323" s="18" t="s">
        <v>60</v>
      </c>
      <c r="D323" s="19">
        <v>260091.06</v>
      </c>
      <c r="E323" s="19">
        <v>1801842.53</v>
      </c>
      <c r="F323" s="19">
        <v>1143050.7</v>
      </c>
      <c r="G323" s="19">
        <v>625443.12</v>
      </c>
      <c r="H323" s="19">
        <v>856760.06</v>
      </c>
      <c r="I323" s="19">
        <v>1230712.28</v>
      </c>
      <c r="J323" s="19">
        <v>1742446.32</v>
      </c>
      <c r="K323" s="19">
        <v>2429382.3199999998</v>
      </c>
      <c r="L323" s="19">
        <v>2291696.21</v>
      </c>
      <c r="M323" s="19">
        <v>80731.199999999997</v>
      </c>
      <c r="O323" s="9"/>
    </row>
    <row r="324" spans="1:15" ht="16.5" customHeight="1">
      <c r="A324" s="9"/>
      <c r="C324" s="18" t="s">
        <v>59</v>
      </c>
      <c r="D324" s="19">
        <v>2984059.87</v>
      </c>
      <c r="E324" s="19">
        <v>2856593.84</v>
      </c>
      <c r="F324" s="19">
        <v>3084742.83</v>
      </c>
      <c r="G324" s="19">
        <v>2178461.88</v>
      </c>
      <c r="H324" s="19">
        <v>2053928.31</v>
      </c>
      <c r="I324" s="19">
        <v>5170328.67</v>
      </c>
      <c r="J324" s="19">
        <v>4573225.87</v>
      </c>
      <c r="K324" s="19">
        <v>4181792.57</v>
      </c>
      <c r="L324" s="19">
        <v>4379624.28</v>
      </c>
      <c r="M324" s="19">
        <v>66889.2</v>
      </c>
      <c r="O324" s="9"/>
    </row>
    <row r="325" spans="1:15" ht="16.5" customHeight="1">
      <c r="A325" s="9"/>
      <c r="C325" s="18" t="s">
        <v>63</v>
      </c>
      <c r="D325" s="19">
        <v>1423762.4</v>
      </c>
      <c r="E325" s="19">
        <v>1032493.99</v>
      </c>
      <c r="F325" s="19">
        <v>909823.26</v>
      </c>
      <c r="G325" s="19">
        <v>865276.49</v>
      </c>
      <c r="H325" s="19">
        <v>1371228.56</v>
      </c>
      <c r="I325" s="19">
        <v>1556099.82</v>
      </c>
      <c r="J325" s="19">
        <v>969045.79</v>
      </c>
      <c r="K325" s="19">
        <v>1533701.18</v>
      </c>
      <c r="L325" s="19">
        <v>930641.45</v>
      </c>
      <c r="M325" s="19">
        <v>64561.49</v>
      </c>
      <c r="O325" s="9"/>
    </row>
    <row r="326" spans="1:15" ht="16.5" customHeight="1">
      <c r="A326" s="9"/>
      <c r="C326" s="18" t="s">
        <v>61</v>
      </c>
      <c r="D326" s="19"/>
      <c r="E326" s="19"/>
      <c r="F326" s="19"/>
      <c r="G326" s="19"/>
      <c r="H326" s="19"/>
      <c r="I326" s="19"/>
      <c r="J326" s="19"/>
      <c r="K326" s="19"/>
      <c r="L326" s="19">
        <v>42924</v>
      </c>
      <c r="M326" s="19">
        <v>58949.88</v>
      </c>
      <c r="O326" s="9"/>
    </row>
    <row r="327" spans="1:15" ht="16.5" customHeight="1">
      <c r="A327" s="9"/>
      <c r="C327" s="18" t="s">
        <v>68</v>
      </c>
      <c r="D327" s="19">
        <v>4226052.84</v>
      </c>
      <c r="E327" s="19">
        <v>3297473.38</v>
      </c>
      <c r="F327" s="19">
        <v>3072530.74</v>
      </c>
      <c r="G327" s="19">
        <v>2740788.32</v>
      </c>
      <c r="H327" s="19">
        <v>2020116.03</v>
      </c>
      <c r="I327" s="19">
        <v>2270066.25</v>
      </c>
      <c r="J327" s="19">
        <v>2547256.14</v>
      </c>
      <c r="K327" s="19">
        <v>3675265.97</v>
      </c>
      <c r="L327" s="19">
        <v>2080109.39</v>
      </c>
      <c r="M327" s="19">
        <v>52353</v>
      </c>
      <c r="O327" s="9"/>
    </row>
    <row r="328" spans="1:15" ht="16.5" customHeight="1">
      <c r="A328" s="9"/>
      <c r="C328" s="18" t="s">
        <v>65</v>
      </c>
      <c r="D328" s="19">
        <v>900065.61</v>
      </c>
      <c r="E328" s="19">
        <v>774557.72</v>
      </c>
      <c r="F328" s="19">
        <v>846384.41</v>
      </c>
      <c r="G328" s="19">
        <v>833326.84</v>
      </c>
      <c r="H328" s="19">
        <v>716228.98</v>
      </c>
      <c r="I328" s="19">
        <v>341310.02</v>
      </c>
      <c r="J328" s="19">
        <v>591042.72</v>
      </c>
      <c r="K328" s="19">
        <v>843225</v>
      </c>
      <c r="L328" s="19">
        <v>536369.4</v>
      </c>
      <c r="M328" s="19">
        <v>51788</v>
      </c>
      <c r="O328" s="9"/>
    </row>
    <row r="329" spans="1:15" ht="16.5" customHeight="1">
      <c r="A329" s="9"/>
      <c r="C329" s="18" t="s">
        <v>67</v>
      </c>
      <c r="D329" s="19">
        <v>1714340.02</v>
      </c>
      <c r="E329" s="19">
        <v>1803404.3</v>
      </c>
      <c r="F329" s="19">
        <v>2047043.3</v>
      </c>
      <c r="G329" s="19">
        <v>1841960.09</v>
      </c>
      <c r="H329" s="19">
        <v>1561670.68</v>
      </c>
      <c r="I329" s="19">
        <v>152468.43</v>
      </c>
      <c r="J329" s="19">
        <v>21256</v>
      </c>
      <c r="K329" s="19">
        <v>38152.382599999997</v>
      </c>
      <c r="L329" s="19">
        <v>44340.871599999999</v>
      </c>
      <c r="M329" s="19">
        <v>50595.916799999999</v>
      </c>
      <c r="O329" s="9"/>
    </row>
    <row r="330" spans="1:15" ht="16.5" customHeight="1">
      <c r="A330" s="9"/>
      <c r="C330" s="18" t="s">
        <v>66</v>
      </c>
      <c r="D330" s="19">
        <v>621866.46</v>
      </c>
      <c r="E330" s="19">
        <v>1454242.32</v>
      </c>
      <c r="F330" s="19">
        <v>492822.76</v>
      </c>
      <c r="G330" s="19">
        <v>815500.62</v>
      </c>
      <c r="H330" s="19">
        <v>846222.36</v>
      </c>
      <c r="I330" s="19">
        <v>1127158.6000000001</v>
      </c>
      <c r="J330" s="19">
        <v>968907.06</v>
      </c>
      <c r="K330" s="19">
        <v>742244.35</v>
      </c>
      <c r="L330" s="19">
        <v>1850045.96</v>
      </c>
      <c r="M330" s="19">
        <v>45671.040000000001</v>
      </c>
      <c r="O330" s="9"/>
    </row>
    <row r="331" spans="1:15" ht="16.5" customHeight="1">
      <c r="A331" s="9"/>
      <c r="C331" s="18" t="s">
        <v>64</v>
      </c>
      <c r="D331" s="19">
        <v>35248.28</v>
      </c>
      <c r="E331" s="19">
        <v>74428</v>
      </c>
      <c r="F331" s="19">
        <v>403068.59</v>
      </c>
      <c r="G331" s="19">
        <v>92785.9</v>
      </c>
      <c r="H331" s="19">
        <v>161213.4</v>
      </c>
      <c r="I331" s="19">
        <v>153087</v>
      </c>
      <c r="J331" s="19">
        <v>194777.9</v>
      </c>
      <c r="K331" s="19"/>
      <c r="L331" s="19">
        <v>2942258.13</v>
      </c>
      <c r="M331" s="19">
        <v>43508.32</v>
      </c>
      <c r="O331" s="9"/>
    </row>
    <row r="332" spans="1:15" ht="16.5" customHeight="1">
      <c r="A332" s="9"/>
      <c r="C332" s="18" t="s">
        <v>71</v>
      </c>
      <c r="D332" s="19">
        <v>513878.36</v>
      </c>
      <c r="E332" s="19">
        <v>730757.72</v>
      </c>
      <c r="F332" s="19">
        <v>551451.43999999994</v>
      </c>
      <c r="G332" s="19">
        <v>460309.86</v>
      </c>
      <c r="H332" s="19">
        <v>516980.77</v>
      </c>
      <c r="I332" s="19">
        <v>430958.26</v>
      </c>
      <c r="J332" s="19">
        <v>452485.78</v>
      </c>
      <c r="K332" s="19">
        <v>1265900.99</v>
      </c>
      <c r="L332" s="19">
        <v>1396207.56</v>
      </c>
      <c r="M332" s="19">
        <v>31200</v>
      </c>
      <c r="O332" s="9"/>
    </row>
    <row r="333" spans="1:15" ht="16.5" customHeight="1">
      <c r="A333" s="9"/>
      <c r="C333" s="18" t="s">
        <v>69</v>
      </c>
      <c r="D333" s="19">
        <v>20682.099999999999</v>
      </c>
      <c r="E333" s="19">
        <v>17489.98</v>
      </c>
      <c r="F333" s="19">
        <v>40863.379999999997</v>
      </c>
      <c r="G333" s="19">
        <v>22618</v>
      </c>
      <c r="H333" s="19">
        <v>15064.86</v>
      </c>
      <c r="I333" s="19"/>
      <c r="J333" s="19"/>
      <c r="K333" s="19"/>
      <c r="L333" s="19">
        <v>26252.05</v>
      </c>
      <c r="M333" s="19">
        <v>27709.599999999999</v>
      </c>
      <c r="O333" s="9"/>
    </row>
    <row r="334" spans="1:15" ht="16.5" customHeight="1">
      <c r="A334" s="9"/>
      <c r="C334" s="18" t="s">
        <v>70</v>
      </c>
      <c r="D334" s="19">
        <v>732603.76</v>
      </c>
      <c r="E334" s="19">
        <v>791975.4</v>
      </c>
      <c r="F334" s="19">
        <v>827004.78</v>
      </c>
      <c r="G334" s="19">
        <v>738404</v>
      </c>
      <c r="H334" s="19">
        <v>715216.01</v>
      </c>
      <c r="I334" s="19">
        <v>335284.95</v>
      </c>
      <c r="J334" s="19">
        <v>265793.62</v>
      </c>
      <c r="K334" s="19">
        <v>245766.46109999999</v>
      </c>
      <c r="L334" s="19">
        <v>605014.0747</v>
      </c>
      <c r="M334" s="19">
        <v>25297.9584</v>
      </c>
      <c r="O334" s="9"/>
    </row>
    <row r="335" spans="1:15" ht="16.5" customHeight="1">
      <c r="A335" s="9"/>
      <c r="C335" s="18" t="s">
        <v>73</v>
      </c>
      <c r="D335" s="19">
        <v>3262686.87</v>
      </c>
      <c r="E335" s="19">
        <v>5657982.4699999997</v>
      </c>
      <c r="F335" s="19">
        <v>4175094.89</v>
      </c>
      <c r="G335" s="19">
        <v>4078586.77</v>
      </c>
      <c r="H335" s="19">
        <v>5294068.8499999996</v>
      </c>
      <c r="I335" s="19">
        <v>4341679.24</v>
      </c>
      <c r="J335" s="19">
        <v>4948469.5199999996</v>
      </c>
      <c r="K335" s="19">
        <v>6644641.8722000001</v>
      </c>
      <c r="L335" s="19">
        <v>7016796.3695</v>
      </c>
      <c r="M335" s="19">
        <v>22692.195800000001</v>
      </c>
      <c r="O335" s="9"/>
    </row>
    <row r="336" spans="1:15" ht="16.5" customHeight="1">
      <c r="A336" s="9"/>
      <c r="C336" s="18" t="s">
        <v>74</v>
      </c>
      <c r="D336" s="19">
        <v>1314732.17</v>
      </c>
      <c r="E336" s="19">
        <v>949172.09</v>
      </c>
      <c r="F336" s="19">
        <v>1595607.83</v>
      </c>
      <c r="G336" s="19">
        <v>1601488.82</v>
      </c>
      <c r="H336" s="19">
        <v>1183843.71</v>
      </c>
      <c r="I336" s="19">
        <v>797265.43</v>
      </c>
      <c r="J336" s="19">
        <v>724402.29</v>
      </c>
      <c r="K336" s="19">
        <v>1140560.32</v>
      </c>
      <c r="L336" s="19">
        <v>873091.77</v>
      </c>
      <c r="M336" s="19">
        <v>18451.16</v>
      </c>
      <c r="O336" s="9"/>
    </row>
    <row r="337" spans="1:15" ht="16.5" customHeight="1">
      <c r="A337" s="9"/>
      <c r="C337" s="18" t="s">
        <v>72</v>
      </c>
      <c r="D337" s="19"/>
      <c r="E337" s="19">
        <v>20958.13</v>
      </c>
      <c r="F337" s="19">
        <v>57595.13</v>
      </c>
      <c r="G337" s="19">
        <v>70213.600000000006</v>
      </c>
      <c r="H337" s="19">
        <v>56733.42</v>
      </c>
      <c r="I337" s="19">
        <v>69220.53</v>
      </c>
      <c r="J337" s="19">
        <v>87556.37</v>
      </c>
      <c r="K337" s="19">
        <v>170183.94</v>
      </c>
      <c r="L337" s="19">
        <v>118585.86</v>
      </c>
      <c r="M337" s="19">
        <v>17838.72</v>
      </c>
      <c r="O337" s="9"/>
    </row>
    <row r="338" spans="1:15" ht="16.5" customHeight="1">
      <c r="A338" s="9"/>
      <c r="C338" s="18" t="s">
        <v>100</v>
      </c>
      <c r="D338" s="19">
        <v>1495922.79</v>
      </c>
      <c r="E338" s="19">
        <v>1125066.68</v>
      </c>
      <c r="F338" s="19">
        <v>1824438.62</v>
      </c>
      <c r="G338" s="19">
        <v>1028719.81</v>
      </c>
      <c r="H338" s="19">
        <v>1364866.96</v>
      </c>
      <c r="I338" s="19">
        <v>465414.02</v>
      </c>
      <c r="J338" s="19"/>
      <c r="K338" s="19"/>
      <c r="L338" s="19">
        <v>65346.79</v>
      </c>
      <c r="M338" s="19"/>
      <c r="O338" s="9"/>
    </row>
    <row r="339" spans="1:15" ht="16.5" customHeight="1">
      <c r="A339" s="9"/>
      <c r="C339" s="18" t="s">
        <v>101</v>
      </c>
      <c r="D339" s="19">
        <v>167706.21</v>
      </c>
      <c r="E339" s="19">
        <v>154875.84</v>
      </c>
      <c r="F339" s="19">
        <v>53945.04</v>
      </c>
      <c r="G339" s="19"/>
      <c r="H339" s="19">
        <v>90070.8</v>
      </c>
      <c r="I339" s="19">
        <v>86114</v>
      </c>
      <c r="J339" s="19"/>
      <c r="K339" s="19"/>
      <c r="L339" s="19"/>
      <c r="M339" s="19"/>
      <c r="O339" s="9"/>
    </row>
    <row r="340" spans="1:15" ht="16.5" customHeight="1">
      <c r="A340" s="9"/>
      <c r="C340" s="18" t="s">
        <v>102</v>
      </c>
      <c r="D340" s="19">
        <v>529600.9</v>
      </c>
      <c r="E340" s="19">
        <v>361627.2</v>
      </c>
      <c r="F340" s="19">
        <v>780721.92</v>
      </c>
      <c r="G340" s="19">
        <v>392477.01</v>
      </c>
      <c r="H340" s="19">
        <v>368943.73</v>
      </c>
      <c r="I340" s="19">
        <v>350367.55</v>
      </c>
      <c r="J340" s="19">
        <v>226131.26</v>
      </c>
      <c r="K340" s="19"/>
      <c r="L340" s="19"/>
      <c r="M340" s="19"/>
      <c r="O340" s="9"/>
    </row>
    <row r="341" spans="1:15" ht="16.5" customHeight="1">
      <c r="A341" s="9"/>
      <c r="C341" s="18" t="s">
        <v>103</v>
      </c>
      <c r="D341" s="19"/>
      <c r="E341" s="19">
        <v>79087.08</v>
      </c>
      <c r="F341" s="19"/>
      <c r="G341" s="19"/>
      <c r="H341" s="19"/>
      <c r="I341" s="19"/>
      <c r="J341" s="19">
        <v>42082.559999999998</v>
      </c>
      <c r="K341" s="19"/>
      <c r="L341" s="19"/>
      <c r="M341" s="19"/>
      <c r="O341" s="9"/>
    </row>
    <row r="342" spans="1:15" ht="16.5" customHeight="1">
      <c r="A342" s="9"/>
      <c r="C342" s="18" t="s">
        <v>104</v>
      </c>
      <c r="D342" s="19">
        <v>732539</v>
      </c>
      <c r="E342" s="19">
        <v>2890792.8</v>
      </c>
      <c r="F342" s="19">
        <v>4483798.5</v>
      </c>
      <c r="G342" s="19">
        <v>4354442.4000000004</v>
      </c>
      <c r="H342" s="19">
        <v>5328381.5999999996</v>
      </c>
      <c r="I342" s="19">
        <v>235485.12</v>
      </c>
      <c r="J342" s="19">
        <v>320237.67</v>
      </c>
      <c r="K342" s="19">
        <v>1523553.93</v>
      </c>
      <c r="L342" s="19">
        <v>397364.43</v>
      </c>
      <c r="M342" s="19"/>
      <c r="O342" s="9"/>
    </row>
    <row r="343" spans="1:15" ht="16.5" customHeight="1">
      <c r="A343" s="9"/>
      <c r="C343" s="18" t="s">
        <v>105</v>
      </c>
      <c r="D343" s="19">
        <v>427926.12</v>
      </c>
      <c r="E343" s="19">
        <v>153059.59</v>
      </c>
      <c r="F343" s="19"/>
      <c r="G343" s="19"/>
      <c r="H343" s="19"/>
      <c r="I343" s="19"/>
      <c r="J343" s="19"/>
      <c r="K343" s="19"/>
      <c r="L343" s="19"/>
      <c r="M343" s="19"/>
      <c r="O343" s="9"/>
    </row>
    <row r="344" spans="1:15" ht="16.5" customHeight="1">
      <c r="A344" s="9"/>
      <c r="C344" s="18" t="s">
        <v>106</v>
      </c>
      <c r="D344" s="19">
        <v>56609.279999999999</v>
      </c>
      <c r="E344" s="19"/>
      <c r="F344" s="19"/>
      <c r="G344" s="19"/>
      <c r="H344" s="19"/>
      <c r="I344" s="19"/>
      <c r="J344" s="19"/>
      <c r="K344" s="19"/>
      <c r="L344" s="19"/>
      <c r="M344" s="19"/>
      <c r="O344" s="9"/>
    </row>
    <row r="345" spans="1:15" ht="16.5" customHeight="1">
      <c r="A345" s="9"/>
      <c r="C345" s="18" t="s">
        <v>107</v>
      </c>
      <c r="D345" s="19"/>
      <c r="E345" s="19"/>
      <c r="F345" s="19"/>
      <c r="G345" s="19">
        <v>2091.6</v>
      </c>
      <c r="H345" s="19">
        <v>904</v>
      </c>
      <c r="I345" s="19"/>
      <c r="J345" s="19"/>
      <c r="K345" s="19"/>
      <c r="L345" s="19"/>
      <c r="M345" s="19"/>
      <c r="O345" s="9"/>
    </row>
    <row r="346" spans="1:15" ht="16.5" customHeight="1">
      <c r="A346" s="9"/>
      <c r="C346" s="18" t="s">
        <v>108</v>
      </c>
      <c r="D346" s="19">
        <v>57454.16</v>
      </c>
      <c r="E346" s="19">
        <v>137384.85</v>
      </c>
      <c r="F346" s="19">
        <v>80838.84</v>
      </c>
      <c r="G346" s="19">
        <v>60908.68</v>
      </c>
      <c r="H346" s="19">
        <v>53925.94</v>
      </c>
      <c r="I346" s="19">
        <v>56389.4</v>
      </c>
      <c r="J346" s="19">
        <v>63364.62</v>
      </c>
      <c r="K346" s="19"/>
      <c r="L346" s="19"/>
      <c r="M346" s="19"/>
      <c r="O346" s="9"/>
    </row>
    <row r="347" spans="1:15" ht="16.5" customHeight="1">
      <c r="A347" s="9"/>
      <c r="C347" s="18" t="s">
        <v>75</v>
      </c>
      <c r="D347" s="19">
        <v>1751013.93</v>
      </c>
      <c r="E347" s="19">
        <v>1745094.16</v>
      </c>
      <c r="F347" s="19">
        <v>2311671.7799999998</v>
      </c>
      <c r="G347" s="19">
        <v>2138055.62</v>
      </c>
      <c r="H347" s="19">
        <v>1682471.62</v>
      </c>
      <c r="I347" s="19">
        <v>366606.62</v>
      </c>
      <c r="J347" s="19">
        <v>86890.25</v>
      </c>
      <c r="K347" s="19">
        <v>912543.55720000004</v>
      </c>
      <c r="L347" s="19">
        <v>537558.26899999997</v>
      </c>
      <c r="M347" s="19"/>
      <c r="O347" s="9"/>
    </row>
    <row r="348" spans="1:15" ht="16.5" customHeight="1">
      <c r="A348" s="9"/>
      <c r="C348" s="18" t="s">
        <v>76</v>
      </c>
      <c r="D348" s="19">
        <v>3372671.33</v>
      </c>
      <c r="E348" s="19">
        <v>4635437.5</v>
      </c>
      <c r="F348" s="19">
        <v>2606742.5299999998</v>
      </c>
      <c r="G348" s="19">
        <v>3216472.34</v>
      </c>
      <c r="H348" s="19">
        <v>4886743.2699999996</v>
      </c>
      <c r="I348" s="19">
        <v>9252091.1099999994</v>
      </c>
      <c r="J348" s="19">
        <v>10596170.83</v>
      </c>
      <c r="K348" s="19">
        <v>16694999.07</v>
      </c>
      <c r="L348" s="19">
        <v>14462322.15</v>
      </c>
      <c r="M348" s="19"/>
      <c r="O348" s="9"/>
    </row>
    <row r="349" spans="1:15" ht="16.5" customHeight="1">
      <c r="A349" s="9"/>
      <c r="C349" s="18" t="s">
        <v>77</v>
      </c>
      <c r="D349" s="19">
        <v>64368.7</v>
      </c>
      <c r="E349" s="19">
        <v>141256.94</v>
      </c>
      <c r="F349" s="19">
        <v>71381.52</v>
      </c>
      <c r="G349" s="19">
        <v>72157.759999999995</v>
      </c>
      <c r="H349" s="19">
        <v>73980.600000000006</v>
      </c>
      <c r="I349" s="19">
        <v>35117.279999999999</v>
      </c>
      <c r="J349" s="19">
        <v>29924.240000000002</v>
      </c>
      <c r="K349" s="19">
        <v>44478.48</v>
      </c>
      <c r="L349" s="19">
        <v>20856.48</v>
      </c>
      <c r="M349" s="19"/>
      <c r="O349" s="9"/>
    </row>
    <row r="350" spans="1:15" ht="16.5" customHeight="1">
      <c r="A350" s="9"/>
      <c r="C350" s="18" t="s">
        <v>109</v>
      </c>
      <c r="D350" s="19">
        <v>85065.79</v>
      </c>
      <c r="E350" s="19">
        <v>59542.5</v>
      </c>
      <c r="F350" s="19"/>
      <c r="G350" s="19"/>
      <c r="H350" s="19">
        <v>35671</v>
      </c>
      <c r="I350" s="19"/>
      <c r="J350" s="19">
        <v>31098.02</v>
      </c>
      <c r="K350" s="19"/>
      <c r="L350" s="19"/>
      <c r="M350" s="19"/>
      <c r="O350" s="9"/>
    </row>
    <row r="351" spans="1:15" ht="16.5" customHeight="1">
      <c r="A351" s="9"/>
      <c r="C351" s="18" t="s">
        <v>110</v>
      </c>
      <c r="D351" s="19">
        <v>156097.88</v>
      </c>
      <c r="E351" s="19">
        <v>91380.78</v>
      </c>
      <c r="F351" s="19">
        <v>61754.86</v>
      </c>
      <c r="G351" s="19">
        <v>40119.22</v>
      </c>
      <c r="H351" s="19">
        <v>73708.960000000006</v>
      </c>
      <c r="I351" s="19">
        <v>84692.88</v>
      </c>
      <c r="J351" s="19"/>
      <c r="K351" s="19"/>
      <c r="L351" s="19"/>
      <c r="M351" s="19"/>
      <c r="O351" s="9"/>
    </row>
    <row r="352" spans="1:15" ht="16.5" customHeight="1">
      <c r="A352" s="9"/>
      <c r="C352" s="18" t="s">
        <v>78</v>
      </c>
      <c r="D352" s="19">
        <v>66356.36</v>
      </c>
      <c r="E352" s="19">
        <v>201601.5</v>
      </c>
      <c r="F352" s="19">
        <v>275441.36</v>
      </c>
      <c r="G352" s="19">
        <v>125410.56</v>
      </c>
      <c r="H352" s="19">
        <v>113113.66</v>
      </c>
      <c r="I352" s="19">
        <v>46409.35</v>
      </c>
      <c r="J352" s="19">
        <v>64234</v>
      </c>
      <c r="K352" s="19">
        <v>25895.06</v>
      </c>
      <c r="L352" s="19"/>
      <c r="M352" s="19"/>
      <c r="O352" s="9"/>
    </row>
    <row r="353" spans="1:15" ht="16.5" customHeight="1">
      <c r="A353" s="9"/>
      <c r="C353" s="18" t="s">
        <v>79</v>
      </c>
      <c r="D353" s="19">
        <v>56350.2</v>
      </c>
      <c r="E353" s="19">
        <v>140495.88</v>
      </c>
      <c r="F353" s="19">
        <v>89581.46</v>
      </c>
      <c r="G353" s="19">
        <v>107021.82</v>
      </c>
      <c r="H353" s="19">
        <v>92443.34</v>
      </c>
      <c r="I353" s="19">
        <v>82116.509999999995</v>
      </c>
      <c r="J353" s="19">
        <v>110664.39</v>
      </c>
      <c r="K353" s="19">
        <v>69756.160000000003</v>
      </c>
      <c r="L353" s="19">
        <v>56759.25</v>
      </c>
      <c r="M353" s="19"/>
      <c r="O353" s="9"/>
    </row>
    <row r="354" spans="1:15" ht="16.5" customHeight="1">
      <c r="A354" s="9"/>
      <c r="C354" s="18" t="s">
        <v>111</v>
      </c>
      <c r="D354" s="19"/>
      <c r="E354" s="19">
        <v>525268.94999999995</v>
      </c>
      <c r="F354" s="19">
        <v>89246</v>
      </c>
      <c r="G354" s="19">
        <v>72576.53</v>
      </c>
      <c r="H354" s="19">
        <v>276732.96999999997</v>
      </c>
      <c r="I354" s="19">
        <v>78459.5</v>
      </c>
      <c r="J354" s="19">
        <v>69103.520000000004</v>
      </c>
      <c r="K354" s="19">
        <v>56435</v>
      </c>
      <c r="L354" s="19">
        <v>171583.39</v>
      </c>
      <c r="M354" s="19"/>
      <c r="O354" s="9"/>
    </row>
    <row r="355" spans="1:15" ht="16.5" customHeight="1">
      <c r="A355" s="9"/>
      <c r="C355" s="18" t="s">
        <v>112</v>
      </c>
      <c r="D355" s="19">
        <v>5076229.3600000003</v>
      </c>
      <c r="E355" s="19">
        <v>4292534.71</v>
      </c>
      <c r="F355" s="19">
        <v>3462929.29</v>
      </c>
      <c r="G355" s="19">
        <v>1854861.54</v>
      </c>
      <c r="H355" s="19">
        <v>1470462.36</v>
      </c>
      <c r="I355" s="19">
        <v>383234.68</v>
      </c>
      <c r="J355" s="19">
        <v>38731</v>
      </c>
      <c r="K355" s="19">
        <v>119305.1</v>
      </c>
      <c r="L355" s="19">
        <v>63679</v>
      </c>
      <c r="M355" s="19"/>
      <c r="O355" s="9"/>
    </row>
    <row r="356" spans="1:15" ht="16.5" customHeight="1">
      <c r="A356" s="9"/>
      <c r="C356" s="18" t="s">
        <v>80</v>
      </c>
      <c r="D356" s="19"/>
      <c r="E356" s="19"/>
      <c r="F356" s="19"/>
      <c r="G356" s="19"/>
      <c r="H356" s="19"/>
      <c r="I356" s="19"/>
      <c r="J356" s="19">
        <v>231360</v>
      </c>
      <c r="K356" s="19">
        <v>351573</v>
      </c>
      <c r="L356" s="19"/>
      <c r="M356" s="19"/>
      <c r="O356" s="9"/>
    </row>
    <row r="357" spans="1:15" ht="16.5" customHeight="1">
      <c r="A357" s="9"/>
      <c r="C357" s="18" t="s">
        <v>113</v>
      </c>
      <c r="D357" s="19"/>
      <c r="E357" s="19"/>
      <c r="F357" s="19"/>
      <c r="G357" s="19"/>
      <c r="H357" s="19"/>
      <c r="I357" s="19"/>
      <c r="J357" s="19"/>
      <c r="K357" s="19">
        <v>113375.58</v>
      </c>
      <c r="L357" s="19"/>
      <c r="M357" s="19"/>
      <c r="O357" s="9"/>
    </row>
    <row r="358" spans="1:15" ht="16.5" customHeight="1">
      <c r="A358" s="9"/>
      <c r="C358" s="18" t="s">
        <v>114</v>
      </c>
      <c r="D358" s="19"/>
      <c r="E358" s="19">
        <v>52165.7</v>
      </c>
      <c r="F358" s="19"/>
      <c r="G358" s="19"/>
      <c r="H358" s="19"/>
      <c r="I358" s="19"/>
      <c r="J358" s="19"/>
      <c r="K358" s="19"/>
      <c r="L358" s="19"/>
      <c r="M358" s="19"/>
      <c r="O358" s="9"/>
    </row>
    <row r="359" spans="1:15" ht="16.5" customHeight="1">
      <c r="A359" s="9"/>
      <c r="C359" s="18" t="s">
        <v>81</v>
      </c>
      <c r="D359" s="19">
        <v>91621.5</v>
      </c>
      <c r="E359" s="19">
        <v>76050.95</v>
      </c>
      <c r="F359" s="19">
        <v>45186</v>
      </c>
      <c r="G359" s="19">
        <v>82375.37</v>
      </c>
      <c r="H359" s="19">
        <v>49035.96</v>
      </c>
      <c r="I359" s="19">
        <v>13302</v>
      </c>
      <c r="J359" s="19">
        <v>15646.5</v>
      </c>
      <c r="K359" s="19">
        <v>77609.210000000006</v>
      </c>
      <c r="L359" s="19">
        <v>231060.83</v>
      </c>
      <c r="M359" s="19"/>
      <c r="O359" s="9"/>
    </row>
    <row r="360" spans="1:15" ht="16.5" customHeight="1">
      <c r="A360" s="9"/>
      <c r="C360" s="18" t="s">
        <v>115</v>
      </c>
      <c r="D360" s="19">
        <v>111000.72</v>
      </c>
      <c r="E360" s="19"/>
      <c r="F360" s="19">
        <v>184659.22</v>
      </c>
      <c r="G360" s="19">
        <v>84578.52</v>
      </c>
      <c r="H360" s="19"/>
      <c r="I360" s="19"/>
      <c r="J360" s="19"/>
      <c r="K360" s="19"/>
      <c r="L360" s="19"/>
      <c r="M360" s="19"/>
      <c r="O360" s="9"/>
    </row>
    <row r="361" spans="1:15" ht="16.5" customHeight="1">
      <c r="A361" s="9"/>
      <c r="C361" s="18" t="s">
        <v>116</v>
      </c>
      <c r="D361" s="19">
        <v>947154.46</v>
      </c>
      <c r="E361" s="19">
        <v>570419.81999999995</v>
      </c>
      <c r="F361" s="19">
        <v>843469.08</v>
      </c>
      <c r="G361" s="19">
        <v>875717.76</v>
      </c>
      <c r="H361" s="19">
        <v>928202.71</v>
      </c>
      <c r="I361" s="19">
        <v>652821.02</v>
      </c>
      <c r="J361" s="19">
        <v>1023403.17</v>
      </c>
      <c r="K361" s="19">
        <v>663934.12</v>
      </c>
      <c r="L361" s="19">
        <v>854920.96</v>
      </c>
      <c r="M361" s="19"/>
      <c r="O361" s="9"/>
    </row>
    <row r="362" spans="1:15" ht="16.5" customHeight="1">
      <c r="A362" s="9"/>
      <c r="C362" s="18" t="s">
        <v>117</v>
      </c>
      <c r="D362" s="19">
        <v>159865.69</v>
      </c>
      <c r="E362" s="19">
        <v>78167.320000000007</v>
      </c>
      <c r="F362" s="19">
        <v>83924.42</v>
      </c>
      <c r="G362" s="19"/>
      <c r="H362" s="19">
        <v>70345.48</v>
      </c>
      <c r="I362" s="19"/>
      <c r="J362" s="19"/>
      <c r="K362" s="19"/>
      <c r="L362" s="19">
        <v>37192.03</v>
      </c>
      <c r="M362" s="19"/>
      <c r="O362" s="9"/>
    </row>
    <row r="363" spans="1:15" ht="16.5" customHeight="1">
      <c r="A363" s="9"/>
      <c r="C363" s="18" t="s">
        <v>118</v>
      </c>
      <c r="D363" s="19"/>
      <c r="E363" s="19"/>
      <c r="F363" s="19"/>
      <c r="G363" s="19"/>
      <c r="H363" s="19">
        <v>75383.42</v>
      </c>
      <c r="I363" s="19"/>
      <c r="J363" s="19"/>
      <c r="K363" s="19"/>
      <c r="L363" s="19"/>
      <c r="M363" s="19"/>
      <c r="O363" s="9"/>
    </row>
    <row r="364" spans="1:15" ht="16.5" customHeight="1">
      <c r="A364" s="9"/>
      <c r="C364" s="18" t="s">
        <v>82</v>
      </c>
      <c r="D364" s="19">
        <v>3331061.82</v>
      </c>
      <c r="E364" s="19">
        <v>1714651.03</v>
      </c>
      <c r="F364" s="19">
        <v>1918472.63</v>
      </c>
      <c r="G364" s="19">
        <v>1606517.18</v>
      </c>
      <c r="H364" s="19">
        <v>529958.09</v>
      </c>
      <c r="I364" s="19">
        <v>817131.37</v>
      </c>
      <c r="J364" s="19">
        <v>713339.8</v>
      </c>
      <c r="K364" s="19">
        <v>626845.51</v>
      </c>
      <c r="L364" s="19">
        <v>656030.23</v>
      </c>
      <c r="M364" s="19"/>
      <c r="O364" s="9"/>
    </row>
    <row r="365" spans="1:15" ht="16.5" customHeight="1">
      <c r="A365" s="9"/>
      <c r="C365" s="18" t="s">
        <v>83</v>
      </c>
      <c r="D365" s="19">
        <v>14975</v>
      </c>
      <c r="E365" s="19">
        <v>14700</v>
      </c>
      <c r="F365" s="19"/>
      <c r="G365" s="19">
        <v>490152.67</v>
      </c>
      <c r="H365" s="19"/>
      <c r="I365" s="19"/>
      <c r="J365" s="19">
        <v>278186.84000000003</v>
      </c>
      <c r="K365" s="19">
        <v>336957.13</v>
      </c>
      <c r="L365" s="19">
        <v>224406.2</v>
      </c>
      <c r="M365" s="19"/>
      <c r="O365" s="9"/>
    </row>
    <row r="366" spans="1:15" ht="16.5" customHeight="1">
      <c r="A366" s="9"/>
      <c r="C366" s="18" t="s">
        <v>119</v>
      </c>
      <c r="D366" s="19"/>
      <c r="E366" s="19">
        <v>37578</v>
      </c>
      <c r="F366" s="19"/>
      <c r="G366" s="19"/>
      <c r="H366" s="19"/>
      <c r="I366" s="19">
        <v>28250.28</v>
      </c>
      <c r="J366" s="19"/>
      <c r="K366" s="19"/>
      <c r="L366" s="19"/>
      <c r="M366" s="19"/>
      <c r="O366" s="9"/>
    </row>
    <row r="367" spans="1:15" ht="16.5" customHeight="1">
      <c r="A367" s="9"/>
      <c r="C367" s="18" t="s">
        <v>84</v>
      </c>
      <c r="D367" s="19">
        <v>67126.320000000007</v>
      </c>
      <c r="E367" s="19">
        <v>67280.399999999994</v>
      </c>
      <c r="F367" s="19">
        <v>86443.92</v>
      </c>
      <c r="G367" s="19"/>
      <c r="H367" s="19">
        <v>135785.41</v>
      </c>
      <c r="I367" s="19">
        <v>138473.60000000001</v>
      </c>
      <c r="J367" s="19">
        <v>281393.74</v>
      </c>
      <c r="K367" s="19">
        <v>158259.85</v>
      </c>
      <c r="L367" s="19"/>
      <c r="M367" s="19"/>
      <c r="O367" s="9"/>
    </row>
    <row r="368" spans="1:15" ht="16.5" customHeight="1">
      <c r="A368" s="9"/>
      <c r="C368" s="18" t="s">
        <v>120</v>
      </c>
      <c r="D368" s="19">
        <v>53118.35</v>
      </c>
      <c r="E368" s="19">
        <v>72120.399999999994</v>
      </c>
      <c r="F368" s="19">
        <v>93591</v>
      </c>
      <c r="G368" s="19">
        <v>70666.87</v>
      </c>
      <c r="H368" s="19"/>
      <c r="I368" s="19"/>
      <c r="J368" s="19"/>
      <c r="K368" s="19"/>
      <c r="L368" s="19"/>
      <c r="M368" s="19"/>
      <c r="O368" s="9"/>
    </row>
    <row r="369" spans="1:15" ht="16.5" customHeight="1">
      <c r="A369" s="9"/>
      <c r="C369" s="18" t="s">
        <v>121</v>
      </c>
      <c r="D369" s="19">
        <v>53230.25</v>
      </c>
      <c r="E369" s="19">
        <v>82186.59</v>
      </c>
      <c r="F369" s="19">
        <v>97732.66</v>
      </c>
      <c r="G369" s="19">
        <v>30921.38</v>
      </c>
      <c r="H369" s="19">
        <v>131148.79</v>
      </c>
      <c r="I369" s="19">
        <v>274459.01</v>
      </c>
      <c r="J369" s="19">
        <v>145892.75</v>
      </c>
      <c r="K369" s="19">
        <v>33853.449999999997</v>
      </c>
      <c r="L369" s="19"/>
      <c r="M369" s="19"/>
      <c r="O369" s="9"/>
    </row>
    <row r="370" spans="1:15" ht="16.5" customHeight="1">
      <c r="A370" s="9"/>
      <c r="C370" s="18" t="s">
        <v>122</v>
      </c>
      <c r="D370" s="19"/>
      <c r="E370" s="19">
        <v>46676.160000000003</v>
      </c>
      <c r="F370" s="19"/>
      <c r="G370" s="19"/>
      <c r="H370" s="19">
        <v>1029.8599999999999</v>
      </c>
      <c r="I370" s="19">
        <v>7751.13</v>
      </c>
      <c r="J370" s="19"/>
      <c r="K370" s="19"/>
      <c r="L370" s="19">
        <v>3787801.92</v>
      </c>
      <c r="M370" s="19"/>
      <c r="O370" s="9"/>
    </row>
    <row r="371" spans="1:15" ht="16.5" customHeight="1">
      <c r="A371" s="9"/>
      <c r="C371" s="18" t="s">
        <v>123</v>
      </c>
      <c r="D371" s="19"/>
      <c r="E371" s="19">
        <v>1038158.35</v>
      </c>
      <c r="F371" s="19">
        <v>930232.57</v>
      </c>
      <c r="G371" s="19">
        <v>554949.38</v>
      </c>
      <c r="H371" s="19"/>
      <c r="I371" s="19"/>
      <c r="J371" s="19">
        <v>58039.8</v>
      </c>
      <c r="K371" s="19">
        <v>52714.37</v>
      </c>
      <c r="L371" s="19">
        <v>225293.84109999999</v>
      </c>
      <c r="M371" s="19"/>
      <c r="O371" s="9"/>
    </row>
    <row r="372" spans="1:15" ht="16.5" customHeight="1">
      <c r="A372" s="9"/>
      <c r="C372" s="18" t="s">
        <v>124</v>
      </c>
      <c r="D372" s="19"/>
      <c r="E372" s="19"/>
      <c r="F372" s="19"/>
      <c r="G372" s="19">
        <v>11608.98</v>
      </c>
      <c r="H372" s="19">
        <v>17750.189999999999</v>
      </c>
      <c r="I372" s="19">
        <v>1920.81</v>
      </c>
      <c r="J372" s="19">
        <v>6077.4</v>
      </c>
      <c r="K372" s="19">
        <v>1024.1300000000001</v>
      </c>
      <c r="L372" s="19"/>
      <c r="M372" s="19"/>
      <c r="O372" s="9"/>
    </row>
    <row r="373" spans="1:15" ht="16.5" customHeight="1">
      <c r="A373" s="9"/>
      <c r="C373" s="18" t="s">
        <v>85</v>
      </c>
      <c r="D373" s="19">
        <v>3044043.17</v>
      </c>
      <c r="E373" s="19">
        <v>1550200.38</v>
      </c>
      <c r="F373" s="19">
        <v>1655528.1</v>
      </c>
      <c r="G373" s="19">
        <v>891070.73</v>
      </c>
      <c r="H373" s="19">
        <v>1486826.5</v>
      </c>
      <c r="I373" s="19">
        <v>428952.15</v>
      </c>
      <c r="J373" s="19">
        <v>561005.06999999995</v>
      </c>
      <c r="K373" s="19">
        <v>2626581.2400000002</v>
      </c>
      <c r="L373" s="19">
        <v>678964.98</v>
      </c>
      <c r="M373" s="19"/>
      <c r="O373" s="9"/>
    </row>
    <row r="374" spans="1:15" ht="16.5" customHeight="1">
      <c r="A374" s="9"/>
      <c r="C374" s="18" t="s">
        <v>125</v>
      </c>
      <c r="D374" s="19">
        <v>92319.54</v>
      </c>
      <c r="E374" s="19">
        <v>100723.56</v>
      </c>
      <c r="F374" s="19">
        <v>49338</v>
      </c>
      <c r="G374" s="19">
        <v>57413.88</v>
      </c>
      <c r="H374" s="19">
        <v>70741.210000000006</v>
      </c>
      <c r="I374" s="19"/>
      <c r="J374" s="19"/>
      <c r="K374" s="19">
        <v>55143.96</v>
      </c>
      <c r="L374" s="19">
        <v>57179.11</v>
      </c>
      <c r="M374" s="19"/>
      <c r="O374" s="9"/>
    </row>
    <row r="375" spans="1:15" ht="16.5" customHeight="1">
      <c r="A375" s="9"/>
      <c r="C375" s="18" t="s">
        <v>126</v>
      </c>
      <c r="D375" s="19">
        <v>239873.76</v>
      </c>
      <c r="E375" s="19">
        <v>291343.92</v>
      </c>
      <c r="F375" s="19">
        <v>252216</v>
      </c>
      <c r="G375" s="19"/>
      <c r="H375" s="19"/>
      <c r="I375" s="19"/>
      <c r="J375" s="19">
        <v>79529.399999999994</v>
      </c>
      <c r="K375" s="19">
        <v>139657</v>
      </c>
      <c r="L375" s="19">
        <v>228789.6</v>
      </c>
      <c r="M375" s="19"/>
      <c r="O375" s="9"/>
    </row>
    <row r="376" spans="1:15" ht="16.5" customHeight="1">
      <c r="A376" s="9"/>
      <c r="C376" s="18" t="s">
        <v>86</v>
      </c>
      <c r="D376" s="19">
        <v>158487.6</v>
      </c>
      <c r="E376" s="19">
        <v>252363.82</v>
      </c>
      <c r="F376" s="19">
        <v>282795.69</v>
      </c>
      <c r="G376" s="19">
        <v>317369.34999999998</v>
      </c>
      <c r="H376" s="19">
        <v>288104.25</v>
      </c>
      <c r="I376" s="19">
        <v>202419.01</v>
      </c>
      <c r="J376" s="19">
        <v>463700.22</v>
      </c>
      <c r="K376" s="19">
        <v>568981.64</v>
      </c>
      <c r="L376" s="19">
        <v>407509.44</v>
      </c>
      <c r="M376" s="19"/>
      <c r="O376" s="9"/>
    </row>
    <row r="377" spans="1:15" ht="16.5" customHeight="1">
      <c r="A377" s="9"/>
      <c r="C377" s="18" t="s">
        <v>87</v>
      </c>
      <c r="D377" s="19"/>
      <c r="E377" s="19"/>
      <c r="F377" s="19"/>
      <c r="G377" s="19"/>
      <c r="H377" s="19"/>
      <c r="I377" s="19"/>
      <c r="J377" s="19">
        <v>36448.199999999997</v>
      </c>
      <c r="K377" s="19">
        <v>256107.46</v>
      </c>
      <c r="L377" s="19">
        <v>29821.200000000001</v>
      </c>
      <c r="M377" s="19"/>
      <c r="O377" s="9"/>
    </row>
    <row r="378" spans="1:15" ht="16.5" customHeight="1">
      <c r="A378" s="9"/>
      <c r="C378" s="18" t="s">
        <v>127</v>
      </c>
      <c r="D378" s="19"/>
      <c r="E378" s="19"/>
      <c r="F378" s="19"/>
      <c r="G378" s="19"/>
      <c r="H378" s="19">
        <v>57947.4</v>
      </c>
      <c r="I378" s="19">
        <v>95067.9</v>
      </c>
      <c r="J378" s="19">
        <v>37054.800000000003</v>
      </c>
      <c r="K378" s="19">
        <v>154000.79999999999</v>
      </c>
      <c r="L378" s="19"/>
      <c r="M378" s="19"/>
      <c r="O378" s="9"/>
    </row>
    <row r="379" spans="1:15" ht="16.5" customHeight="1">
      <c r="A379" s="9"/>
      <c r="C379" s="18" t="s">
        <v>128</v>
      </c>
      <c r="D379" s="19">
        <v>102356.39</v>
      </c>
      <c r="E379" s="19">
        <v>99995.28</v>
      </c>
      <c r="F379" s="19">
        <v>55900</v>
      </c>
      <c r="G379" s="19">
        <v>40109.550000000003</v>
      </c>
      <c r="H379" s="19"/>
      <c r="I379" s="19"/>
      <c r="J379" s="19"/>
      <c r="K379" s="19"/>
      <c r="L379" s="19"/>
      <c r="M379" s="19"/>
      <c r="O379" s="9"/>
    </row>
    <row r="380" spans="1:15" ht="16.5" customHeight="1">
      <c r="A380" s="9"/>
      <c r="C380" s="18" t="s">
        <v>88</v>
      </c>
      <c r="D380" s="19">
        <v>2681360.1</v>
      </c>
      <c r="E380" s="19">
        <v>2735383.5</v>
      </c>
      <c r="F380" s="19">
        <v>1647901.26</v>
      </c>
      <c r="G380" s="19">
        <v>777235.11</v>
      </c>
      <c r="H380" s="19">
        <v>637292.38</v>
      </c>
      <c r="I380" s="19">
        <v>1312510</v>
      </c>
      <c r="J380" s="19">
        <v>1521672.04</v>
      </c>
      <c r="K380" s="19">
        <v>1144068.97</v>
      </c>
      <c r="L380" s="19">
        <v>199122.26</v>
      </c>
      <c r="M380" s="19"/>
      <c r="O380" s="9"/>
    </row>
    <row r="381" spans="1:15" ht="16.5" customHeight="1">
      <c r="A381" s="9"/>
      <c r="C381" s="18" t="s">
        <v>89</v>
      </c>
      <c r="D381" s="19">
        <v>553683.80000000005</v>
      </c>
      <c r="E381" s="19">
        <v>345400</v>
      </c>
      <c r="F381" s="19">
        <v>474925</v>
      </c>
      <c r="G381" s="19">
        <v>549113.77</v>
      </c>
      <c r="H381" s="19">
        <v>539218.92000000004</v>
      </c>
      <c r="I381" s="19">
        <v>641995.17000000004</v>
      </c>
      <c r="J381" s="19">
        <v>665598.43999999994</v>
      </c>
      <c r="K381" s="19">
        <v>890316.71</v>
      </c>
      <c r="L381" s="19">
        <v>628863</v>
      </c>
      <c r="M381" s="19"/>
      <c r="O381" s="9"/>
    </row>
    <row r="382" spans="1:15" ht="16.5" customHeight="1">
      <c r="A382" s="9"/>
      <c r="C382" s="18" t="s">
        <v>129</v>
      </c>
      <c r="D382" s="19">
        <v>1116206.22</v>
      </c>
      <c r="E382" s="19">
        <v>1294757.19</v>
      </c>
      <c r="F382" s="19">
        <v>1535578.49</v>
      </c>
      <c r="G382" s="19">
        <v>1650358.41</v>
      </c>
      <c r="H382" s="19">
        <v>2024924.47</v>
      </c>
      <c r="I382" s="19">
        <v>1907961.04</v>
      </c>
      <c r="J382" s="19">
        <v>1278253.99</v>
      </c>
      <c r="K382" s="19">
        <v>257101.43</v>
      </c>
      <c r="L382" s="19">
        <v>153756.39000000001</v>
      </c>
      <c r="M382" s="19"/>
      <c r="O382" s="9"/>
    </row>
    <row r="383" spans="1:15" ht="16.5" customHeight="1">
      <c r="A383" s="9"/>
      <c r="C383" s="18" t="s">
        <v>90</v>
      </c>
      <c r="D383" s="19">
        <v>945708.32</v>
      </c>
      <c r="E383" s="19">
        <v>1123539.33</v>
      </c>
      <c r="F383" s="19">
        <v>1286802.99</v>
      </c>
      <c r="G383" s="19">
        <v>1192833.1399999999</v>
      </c>
      <c r="H383" s="19">
        <v>1041491.74</v>
      </c>
      <c r="I383" s="19">
        <v>299895.55</v>
      </c>
      <c r="J383" s="19">
        <v>319006.84999999998</v>
      </c>
      <c r="K383" s="19">
        <v>249552.5202</v>
      </c>
      <c r="L383" s="19">
        <v>573977.38529999997</v>
      </c>
      <c r="M383" s="19"/>
      <c r="O383" s="9"/>
    </row>
    <row r="384" spans="1:15" ht="16.5" customHeight="1">
      <c r="A384" s="9"/>
      <c r="C384" s="18" t="s">
        <v>91</v>
      </c>
      <c r="D384" s="19">
        <v>1150510.3799999999</v>
      </c>
      <c r="E384" s="19">
        <v>1592067.22</v>
      </c>
      <c r="F384" s="19">
        <v>451820.41</v>
      </c>
      <c r="G384" s="19">
        <v>183544.05</v>
      </c>
      <c r="H384" s="19">
        <v>177041.28</v>
      </c>
      <c r="I384" s="19">
        <v>149553.95000000001</v>
      </c>
      <c r="J384" s="19">
        <v>251463.45</v>
      </c>
      <c r="K384" s="19">
        <v>485172.23550000001</v>
      </c>
      <c r="L384" s="19">
        <v>597296.30590000004</v>
      </c>
      <c r="M384" s="19"/>
      <c r="O384" s="9"/>
    </row>
    <row r="385" spans="1:15" ht="16.5" customHeight="1">
      <c r="A385" s="9"/>
      <c r="C385" s="18" t="s">
        <v>130</v>
      </c>
      <c r="D385" s="19"/>
      <c r="E385" s="19"/>
      <c r="F385" s="19"/>
      <c r="G385" s="19"/>
      <c r="H385" s="19"/>
      <c r="I385" s="19"/>
      <c r="J385" s="19"/>
      <c r="K385" s="19">
        <v>2445</v>
      </c>
      <c r="L385" s="19"/>
      <c r="M385" s="19"/>
      <c r="O385" s="9"/>
    </row>
    <row r="386" spans="1:15" ht="16.5" customHeight="1">
      <c r="A386" s="9"/>
      <c r="C386" s="18" t="s">
        <v>92</v>
      </c>
      <c r="D386" s="19">
        <v>126812.73</v>
      </c>
      <c r="E386" s="19">
        <v>92068.31</v>
      </c>
      <c r="F386" s="19">
        <v>87025.23</v>
      </c>
      <c r="G386" s="19">
        <v>69125.64</v>
      </c>
      <c r="H386" s="19">
        <v>81379.820000000007</v>
      </c>
      <c r="I386" s="19">
        <v>73838.53</v>
      </c>
      <c r="J386" s="19">
        <v>168629.33</v>
      </c>
      <c r="K386" s="19">
        <v>211828.84</v>
      </c>
      <c r="L386" s="19">
        <v>213740.83</v>
      </c>
      <c r="M386" s="19"/>
      <c r="O386" s="9"/>
    </row>
    <row r="387" spans="1:15" ht="16.5" customHeight="1">
      <c r="A387" s="9"/>
      <c r="C387" s="18" t="s">
        <v>93</v>
      </c>
      <c r="D387" s="19"/>
      <c r="E387" s="19">
        <v>27590.7</v>
      </c>
      <c r="F387" s="19"/>
      <c r="G387" s="19">
        <v>47094</v>
      </c>
      <c r="H387" s="19">
        <v>44891</v>
      </c>
      <c r="I387" s="19">
        <v>19215.68</v>
      </c>
      <c r="J387" s="19">
        <v>83829</v>
      </c>
      <c r="K387" s="19">
        <v>142143.4</v>
      </c>
      <c r="L387" s="19">
        <v>271878.15999999997</v>
      </c>
      <c r="M387" s="19"/>
      <c r="O387" s="9"/>
    </row>
    <row r="388" spans="1:15" ht="16.5" customHeight="1">
      <c r="A388" s="9"/>
      <c r="C388" s="18" t="s">
        <v>131</v>
      </c>
      <c r="D388" s="19">
        <v>15104.35</v>
      </c>
      <c r="E388" s="19"/>
      <c r="F388" s="19">
        <v>19762.919999999998</v>
      </c>
      <c r="G388" s="19"/>
      <c r="H388" s="19"/>
      <c r="I388" s="19">
        <v>16423.5</v>
      </c>
      <c r="J388" s="19"/>
      <c r="K388" s="19">
        <v>20701.8</v>
      </c>
      <c r="L388" s="19"/>
      <c r="M388" s="19"/>
      <c r="O388" s="9"/>
    </row>
    <row r="389" spans="1:15" ht="16.5" customHeight="1">
      <c r="A389" s="9"/>
      <c r="C389" s="18" t="s">
        <v>132</v>
      </c>
      <c r="D389" s="19">
        <v>172730.69</v>
      </c>
      <c r="E389" s="19">
        <v>237034.14</v>
      </c>
      <c r="F389" s="19">
        <v>45638.22</v>
      </c>
      <c r="G389" s="19">
        <v>83271.899999999994</v>
      </c>
      <c r="H389" s="19">
        <v>33003.65</v>
      </c>
      <c r="I389" s="19">
        <v>44571.24</v>
      </c>
      <c r="J389" s="19"/>
      <c r="K389" s="19"/>
      <c r="L389" s="19"/>
      <c r="M389" s="19"/>
      <c r="O389" s="9"/>
    </row>
    <row r="390" spans="1:15" ht="16.5" customHeight="1">
      <c r="A390" s="9"/>
      <c r="C390" s="18" t="s">
        <v>133</v>
      </c>
      <c r="D390" s="19">
        <v>374608.91</v>
      </c>
      <c r="E390" s="19">
        <v>355634.82</v>
      </c>
      <c r="F390" s="19">
        <v>27460</v>
      </c>
      <c r="G390" s="19">
        <v>89320</v>
      </c>
      <c r="H390" s="19">
        <v>41954</v>
      </c>
      <c r="I390" s="19"/>
      <c r="J390" s="19">
        <v>307165.32</v>
      </c>
      <c r="K390" s="19"/>
      <c r="L390" s="19"/>
      <c r="M390" s="19"/>
      <c r="O390" s="9"/>
    </row>
    <row r="391" spans="1:15" ht="16.5" customHeight="1">
      <c r="A391" s="9"/>
      <c r="C391" s="18" t="s">
        <v>134</v>
      </c>
      <c r="D391" s="19"/>
      <c r="E391" s="19"/>
      <c r="F391" s="19"/>
      <c r="G391" s="19"/>
      <c r="H391" s="19"/>
      <c r="I391" s="19"/>
      <c r="J391" s="19"/>
      <c r="K391" s="19"/>
      <c r="L391" s="19">
        <v>24562.07</v>
      </c>
      <c r="M391" s="19"/>
      <c r="O391" s="9"/>
    </row>
    <row r="392" spans="1:15" ht="16.5" customHeight="1">
      <c r="A392" s="9"/>
      <c r="C392" s="18" t="s">
        <v>135</v>
      </c>
      <c r="D392" s="19">
        <v>26460</v>
      </c>
      <c r="E392" s="19">
        <v>52920</v>
      </c>
      <c r="F392" s="19"/>
      <c r="G392" s="19">
        <v>47363.5</v>
      </c>
      <c r="H392" s="19">
        <v>45414.2</v>
      </c>
      <c r="I392" s="19"/>
      <c r="J392" s="19">
        <v>159243</v>
      </c>
      <c r="K392" s="19"/>
      <c r="L392" s="19">
        <v>144491.54999999999</v>
      </c>
      <c r="M392" s="19"/>
      <c r="O392" s="9"/>
    </row>
    <row r="393" spans="1:15" ht="16.5" customHeight="1">
      <c r="A393" s="9"/>
      <c r="C393" s="18" t="s">
        <v>136</v>
      </c>
      <c r="D393" s="19">
        <v>783168.63</v>
      </c>
      <c r="E393" s="19">
        <v>2954472.63</v>
      </c>
      <c r="F393" s="19">
        <v>2035466.53</v>
      </c>
      <c r="G393" s="19"/>
      <c r="H393" s="19"/>
      <c r="I393" s="19"/>
      <c r="J393" s="19">
        <v>76598.16</v>
      </c>
      <c r="K393" s="19"/>
      <c r="L393" s="19"/>
      <c r="M393" s="19"/>
      <c r="O393" s="9"/>
    </row>
    <row r="394" spans="1:15" ht="16.5" customHeight="1">
      <c r="A394" s="9"/>
      <c r="C394" s="18" t="s">
        <v>94</v>
      </c>
      <c r="D394" s="19">
        <v>114238.49</v>
      </c>
      <c r="E394" s="19">
        <v>168619.02</v>
      </c>
      <c r="F394" s="19">
        <v>166297.54999999999</v>
      </c>
      <c r="G394" s="19">
        <v>142882.06</v>
      </c>
      <c r="H394" s="19">
        <v>142406.25</v>
      </c>
      <c r="I394" s="19">
        <v>179154.3</v>
      </c>
      <c r="J394" s="19"/>
      <c r="K394" s="19">
        <v>133331.1</v>
      </c>
      <c r="L394" s="19">
        <v>143293.93</v>
      </c>
      <c r="M394" s="19"/>
      <c r="O394" s="9"/>
    </row>
    <row r="395" spans="1:15" ht="16.5" customHeight="1">
      <c r="A395" s="9"/>
      <c r="C395" s="18" t="s">
        <v>137</v>
      </c>
      <c r="D395" s="19">
        <v>16456.27</v>
      </c>
      <c r="E395" s="19">
        <v>7097.53</v>
      </c>
      <c r="F395" s="19">
        <v>7016.1</v>
      </c>
      <c r="G395" s="19">
        <v>4689.2700000000004</v>
      </c>
      <c r="H395" s="19">
        <v>9191.41</v>
      </c>
      <c r="I395" s="19">
        <v>6530.51</v>
      </c>
      <c r="J395" s="19">
        <v>4544.63</v>
      </c>
      <c r="K395" s="19">
        <v>6905.27</v>
      </c>
      <c r="L395" s="19">
        <v>4518.6400000000003</v>
      </c>
      <c r="M395" s="19"/>
      <c r="O395" s="9"/>
    </row>
    <row r="396" spans="1:15" ht="16.5" customHeight="1">
      <c r="A396" s="9"/>
      <c r="C396" s="18" t="s">
        <v>95</v>
      </c>
      <c r="D396" s="19">
        <v>4244510.49</v>
      </c>
      <c r="E396" s="19">
        <v>3734768.68</v>
      </c>
      <c r="F396" s="19">
        <v>4386713.53</v>
      </c>
      <c r="G396" s="19">
        <v>4040794.06</v>
      </c>
      <c r="H396" s="19">
        <v>3181738.05</v>
      </c>
      <c r="I396" s="19">
        <v>3659637.54</v>
      </c>
      <c r="J396" s="19">
        <v>3634189.19</v>
      </c>
      <c r="K396" s="19">
        <v>3131423.26</v>
      </c>
      <c r="L396" s="19">
        <v>3616726.97</v>
      </c>
      <c r="M396" s="19"/>
      <c r="O396" s="9"/>
    </row>
    <row r="397" spans="1:15" ht="16.5" customHeight="1">
      <c r="A397" s="9"/>
      <c r="C397" s="18" t="s">
        <v>138</v>
      </c>
      <c r="D397" s="19">
        <v>29782</v>
      </c>
      <c r="E397" s="19">
        <v>45821.34</v>
      </c>
      <c r="F397" s="19">
        <v>35661.5</v>
      </c>
      <c r="G397" s="19"/>
      <c r="H397" s="19"/>
      <c r="I397" s="19"/>
      <c r="J397" s="19"/>
      <c r="K397" s="19"/>
      <c r="L397" s="19"/>
      <c r="M397" s="19"/>
      <c r="O397" s="9"/>
    </row>
    <row r="398" spans="1:15" ht="16.5" customHeight="1">
      <c r="A398" s="9"/>
      <c r="C398" s="18" t="s">
        <v>139</v>
      </c>
      <c r="D398" s="19">
        <v>159281.89000000001</v>
      </c>
      <c r="E398" s="19">
        <v>238338.88</v>
      </c>
      <c r="F398" s="19">
        <v>85624.4</v>
      </c>
      <c r="G398" s="19">
        <v>141115.03</v>
      </c>
      <c r="H398" s="19"/>
      <c r="I398" s="19"/>
      <c r="J398" s="19"/>
      <c r="K398" s="19"/>
      <c r="L398" s="19"/>
      <c r="M398" s="19"/>
      <c r="O398" s="9"/>
    </row>
    <row r="399" spans="1:15" ht="16.5" customHeight="1">
      <c r="A399" s="9"/>
      <c r="C399" s="18" t="s">
        <v>96</v>
      </c>
      <c r="D399" s="19">
        <v>7553371.9900000002</v>
      </c>
      <c r="E399" s="19">
        <v>7630085.2000000002</v>
      </c>
      <c r="F399" s="19">
        <v>7961910.7000000002</v>
      </c>
      <c r="G399" s="19">
        <v>3049697.88</v>
      </c>
      <c r="H399" s="19">
        <v>5138477</v>
      </c>
      <c r="I399" s="19">
        <v>5381130.1799999997</v>
      </c>
      <c r="J399" s="19">
        <v>7231088.0099999998</v>
      </c>
      <c r="K399" s="19">
        <v>10505901.220000001</v>
      </c>
      <c r="L399" s="19">
        <v>7559872.9199999999</v>
      </c>
      <c r="M399" s="19"/>
      <c r="O399" s="9"/>
    </row>
    <row r="400" spans="1:15" ht="16.5" customHeight="1">
      <c r="A400" s="9"/>
      <c r="C400" s="18" t="s">
        <v>97</v>
      </c>
      <c r="D400" s="19">
        <v>25336166.289999999</v>
      </c>
      <c r="E400" s="19">
        <v>27893114.27</v>
      </c>
      <c r="F400" s="19">
        <v>15205310.25</v>
      </c>
      <c r="G400" s="19">
        <v>19915816.760000002</v>
      </c>
      <c r="H400" s="19">
        <v>21324409.390000001</v>
      </c>
      <c r="I400" s="19">
        <v>24511594.800000001</v>
      </c>
      <c r="J400" s="19">
        <v>22578085.370000001</v>
      </c>
      <c r="K400" s="19">
        <v>3808771.17</v>
      </c>
      <c r="L400" s="19">
        <v>985485.47</v>
      </c>
      <c r="M400" s="19"/>
      <c r="O400" s="9"/>
    </row>
    <row r="401" spans="1:15" ht="16.5" customHeight="1">
      <c r="A401" s="9"/>
      <c r="C401" s="18" t="s">
        <v>98</v>
      </c>
      <c r="D401" s="19"/>
      <c r="E401" s="19">
        <v>191295.98</v>
      </c>
      <c r="F401" s="19">
        <v>58685</v>
      </c>
      <c r="G401" s="19">
        <v>330359</v>
      </c>
      <c r="H401" s="19">
        <v>160442.93</v>
      </c>
      <c r="I401" s="19">
        <v>173808.4</v>
      </c>
      <c r="J401" s="19">
        <v>315276.24</v>
      </c>
      <c r="K401" s="19">
        <v>676629.92</v>
      </c>
      <c r="L401" s="19">
        <v>701850.1</v>
      </c>
      <c r="M401" s="19"/>
      <c r="O401" s="9"/>
    </row>
    <row r="402" spans="1:15" ht="16.5" customHeight="1">
      <c r="A402" s="9"/>
      <c r="C402" s="18" t="s">
        <v>140</v>
      </c>
      <c r="D402" s="19">
        <v>332881.95</v>
      </c>
      <c r="E402" s="19">
        <v>422510.5</v>
      </c>
      <c r="F402" s="19">
        <v>325278.25</v>
      </c>
      <c r="G402" s="19">
        <v>307930</v>
      </c>
      <c r="H402" s="19">
        <v>99412.5</v>
      </c>
      <c r="I402" s="19">
        <v>132821.25</v>
      </c>
      <c r="J402" s="19">
        <v>58034</v>
      </c>
      <c r="K402" s="19">
        <v>89302.5</v>
      </c>
      <c r="L402" s="19">
        <v>320831.75</v>
      </c>
      <c r="M402" s="19"/>
      <c r="O402" s="9"/>
    </row>
    <row r="403" spans="1:15" ht="16.5" customHeight="1">
      <c r="A403" s="9"/>
      <c r="C403" s="18" t="s">
        <v>99</v>
      </c>
      <c r="D403" s="19"/>
      <c r="E403" s="19"/>
      <c r="F403" s="19"/>
      <c r="G403" s="19"/>
      <c r="H403" s="19"/>
      <c r="I403" s="19">
        <v>9663.36</v>
      </c>
      <c r="J403" s="19">
        <v>10382.4</v>
      </c>
      <c r="K403" s="19">
        <v>49325.279999999999</v>
      </c>
      <c r="L403" s="19">
        <v>30858.240000000002</v>
      </c>
      <c r="M403" s="19"/>
      <c r="O403" s="9"/>
    </row>
    <row r="404" spans="1:15" ht="16.5" customHeight="1">
      <c r="A404" s="9"/>
      <c r="C404" s="18" t="s">
        <v>141</v>
      </c>
      <c r="D404" s="19">
        <v>36370.230000000003</v>
      </c>
      <c r="E404" s="19"/>
      <c r="F404" s="19">
        <v>49495</v>
      </c>
      <c r="G404" s="19">
        <v>30661.599999999999</v>
      </c>
      <c r="H404" s="19">
        <v>36773</v>
      </c>
      <c r="I404" s="19"/>
      <c r="J404" s="19"/>
      <c r="K404" s="19"/>
      <c r="L404" s="19"/>
      <c r="M404" s="19"/>
      <c r="O404" s="9"/>
    </row>
    <row r="405" spans="1:15" ht="16.5" customHeight="1">
      <c r="A405" s="9"/>
      <c r="C405" s="18" t="s">
        <v>142</v>
      </c>
      <c r="D405" s="19">
        <v>41052</v>
      </c>
      <c r="E405" s="19">
        <v>279615.32</v>
      </c>
      <c r="F405" s="19">
        <v>56071.4</v>
      </c>
      <c r="G405" s="19">
        <v>95595.6</v>
      </c>
      <c r="H405" s="19"/>
      <c r="I405" s="19"/>
      <c r="J405" s="19"/>
      <c r="K405" s="19"/>
      <c r="L405" s="19"/>
      <c r="M405" s="19"/>
      <c r="O405" s="9"/>
    </row>
    <row r="406" spans="1:15" ht="16.5" customHeight="1">
      <c r="A406" s="9"/>
      <c r="C406" s="2" t="s">
        <v>8</v>
      </c>
      <c r="D406" s="12">
        <f>SUBTOTAL(109,PaisReceitaAnual['[9YA']])</f>
        <v>576537055.26000011</v>
      </c>
      <c r="E406" s="12">
        <f>SUBTOTAL(109,PaisReceitaAnual['[8YA']])</f>
        <v>605285867.65020061</v>
      </c>
      <c r="F406" s="12">
        <f>SUBTOTAL(109,PaisReceitaAnual['[7YA']])</f>
        <v>644333772.20600021</v>
      </c>
      <c r="G406" s="12">
        <f>SUBTOTAL(109,PaisReceitaAnual['[6YA']])</f>
        <v>600812746.13999963</v>
      </c>
      <c r="H406" s="12">
        <f>SUBTOTAL(109,PaisReceitaAnual['[5YA']])</f>
        <v>583657074.56960034</v>
      </c>
      <c r="I406" s="12">
        <f>SUBTOTAL(109,PaisReceitaAnual['[4YA']])</f>
        <v>536760249.65999985</v>
      </c>
      <c r="J406" s="12">
        <f>SUBTOTAL(109,PaisReceitaAnual['[3YA']])</f>
        <v>566840087.66999996</v>
      </c>
      <c r="K406" s="12">
        <f>SUBTOTAL(109,PaisReceitaAnual['[2YA']])</f>
        <v>709029893.34710026</v>
      </c>
      <c r="L406" s="12">
        <f>SUBTOTAL(109,PaisReceitaAnual['[LY']])</f>
        <v>702276452.58519995</v>
      </c>
      <c r="M406" s="12">
        <f>SUBTOTAL(109,PaisReceitaAnual['[CY']])</f>
        <v>55795886.883700021</v>
      </c>
      <c r="O406" s="9"/>
    </row>
    <row r="407" spans="1:15" ht="16.5" customHeight="1">
      <c r="A407" s="9"/>
      <c r="C407" s="7" t="s">
        <v>9</v>
      </c>
      <c r="O407" s="9"/>
    </row>
    <row r="408" spans="1:15" ht="16.5" customHeight="1">
      <c r="A408" s="9"/>
      <c r="O408" s="9"/>
    </row>
    <row r="409" spans="1:15" ht="16.5" customHeight="1">
      <c r="A409" s="9"/>
      <c r="O409" s="9"/>
    </row>
    <row r="410" spans="1:15" ht="16.5" customHeight="1">
      <c r="A410" s="9"/>
      <c r="O410" s="9"/>
    </row>
    <row r="411" spans="1:15" ht="16.5" customHeight="1">
      <c r="A411" s="9"/>
      <c r="O411" s="9"/>
    </row>
    <row r="412" spans="1:15" ht="16.5" customHeight="1">
      <c r="A412" s="9"/>
      <c r="O412" s="9"/>
    </row>
    <row r="413" spans="1:15" ht="16.5" customHeight="1">
      <c r="A413" s="9"/>
      <c r="O413" s="9"/>
    </row>
    <row r="414" spans="1:15" ht="16.5" customHeight="1">
      <c r="A414" s="9"/>
      <c r="O414" s="9"/>
    </row>
    <row r="415" spans="1:15" ht="16.5" customHeight="1">
      <c r="A415" s="9"/>
      <c r="O415" s="9"/>
    </row>
    <row r="416" spans="1:15" ht="16.5" customHeight="1">
      <c r="A416" s="9"/>
      <c r="O416" s="9"/>
    </row>
    <row r="417" spans="1:15" ht="16.5" customHeight="1">
      <c r="A417" s="9"/>
      <c r="O417" s="9"/>
    </row>
    <row r="418" spans="1:15" ht="16.5" customHeight="1">
      <c r="A418" s="9"/>
      <c r="O418" s="9"/>
    </row>
    <row r="419" spans="1:15" ht="16.5" customHeight="1">
      <c r="A419" s="9"/>
      <c r="O419" s="9"/>
    </row>
    <row r="420" spans="1:15" ht="16.5" customHeight="1">
      <c r="A420" s="9"/>
      <c r="O420" s="9"/>
    </row>
    <row r="421" spans="1:15" ht="16.5" customHeight="1">
      <c r="A421" s="9"/>
      <c r="O421" s="9"/>
    </row>
    <row r="422" spans="1:15" ht="16.5" customHeight="1">
      <c r="A422" s="9"/>
      <c r="O422" s="9"/>
    </row>
    <row r="423" spans="1:15" ht="16.5" customHeight="1">
      <c r="A423" s="9"/>
      <c r="O423" s="9"/>
    </row>
    <row r="424" spans="1:15" ht="16.5" customHeight="1">
      <c r="A424" s="9"/>
      <c r="O424" s="9"/>
    </row>
    <row r="425" spans="1:15" ht="16.5" customHeight="1">
      <c r="A425" s="9"/>
      <c r="O425" s="9"/>
    </row>
    <row r="426" spans="1:15" ht="16.5" customHeight="1">
      <c r="A426" s="9"/>
      <c r="O426" s="9"/>
    </row>
    <row r="427" spans="1:15" ht="16.5" customHeight="1">
      <c r="A427" s="9"/>
      <c r="O427" s="9"/>
    </row>
    <row r="428" spans="1:15" ht="16.5" customHeight="1">
      <c r="A428" s="9"/>
      <c r="O428" s="9"/>
    </row>
    <row r="429" spans="1:15" ht="16.5" customHeight="1">
      <c r="A429" s="9"/>
      <c r="O429" s="9"/>
    </row>
    <row r="430" spans="1:15" ht="16.5" customHeight="1">
      <c r="A430" s="9"/>
      <c r="O430" s="9"/>
    </row>
    <row r="431" spans="1:15" ht="16.5" customHeight="1">
      <c r="A431" s="9"/>
      <c r="O431" s="9"/>
    </row>
    <row r="432" spans="1:15" ht="16.5" customHeight="1">
      <c r="A432" s="9"/>
      <c r="O432" s="9"/>
    </row>
    <row r="433" spans="1:15" ht="16.5" customHeight="1">
      <c r="A433" s="9"/>
      <c r="O433" s="9"/>
    </row>
    <row r="434" spans="1:15" ht="16.5" customHeight="1">
      <c r="A434" s="9"/>
      <c r="O434" s="9"/>
    </row>
    <row r="435" spans="1:15" ht="16.5" customHeight="1">
      <c r="A435" s="9"/>
      <c r="O435" s="9"/>
    </row>
    <row r="436" spans="1:15" ht="16.5" customHeight="1">
      <c r="A436" s="9"/>
      <c r="O436" s="9"/>
    </row>
    <row r="437" spans="1:15" ht="16.5" customHeight="1">
      <c r="A437" s="9"/>
      <c r="O437" s="9"/>
    </row>
    <row r="438" spans="1:15" ht="16.5" customHeight="1">
      <c r="A438" s="9"/>
      <c r="O438" s="9"/>
    </row>
    <row r="439" spans="1:15" ht="16.5" customHeight="1">
      <c r="A439" s="9"/>
      <c r="O439" s="9"/>
    </row>
    <row r="440" spans="1:15" ht="16.5" customHeight="1">
      <c r="A440" s="9"/>
      <c r="O440" s="9"/>
    </row>
    <row r="441" spans="1:15" ht="16.5" customHeight="1">
      <c r="A441" s="9"/>
      <c r="O441" s="9"/>
    </row>
    <row r="442" spans="1:15" ht="16.5" customHeight="1">
      <c r="A442" s="9"/>
      <c r="O442" s="9"/>
    </row>
    <row r="443" spans="1:15" ht="16.5" customHeight="1">
      <c r="A443" s="9"/>
      <c r="O443" s="9"/>
    </row>
    <row r="444" spans="1:15" ht="16.5" customHeight="1">
      <c r="A444" s="9"/>
      <c r="O444" s="9"/>
    </row>
    <row r="445" spans="1:15" ht="16.5" customHeight="1">
      <c r="A445" s="9"/>
      <c r="O445" s="9"/>
    </row>
    <row r="446" spans="1:15" ht="16.5" customHeight="1">
      <c r="A446" s="9"/>
      <c r="O446" s="9"/>
    </row>
    <row r="447" spans="1:15" ht="16.5" customHeight="1">
      <c r="A447" s="9"/>
      <c r="O447" s="9"/>
    </row>
    <row r="448" spans="1:15" ht="16.5" customHeight="1">
      <c r="A448" s="9"/>
      <c r="O448" s="9"/>
    </row>
    <row r="449" spans="1:15" ht="16.5" customHeight="1">
      <c r="A449" s="9"/>
      <c r="O449" s="9"/>
    </row>
    <row r="450" spans="1:15" ht="16.5" customHeight="1">
      <c r="A450" s="9"/>
      <c r="O450" s="9"/>
    </row>
    <row r="451" spans="1:15" ht="16.5" customHeight="1">
      <c r="A451" s="9"/>
      <c r="O451" s="9"/>
    </row>
    <row r="452" spans="1:15" ht="16.5" customHeight="1">
      <c r="A452" s="9"/>
      <c r="O452" s="9"/>
    </row>
    <row r="453" spans="1:15" ht="16.5" customHeight="1">
      <c r="A453" s="9"/>
      <c r="O453" s="9"/>
    </row>
    <row r="454" spans="1:15" ht="16.5" customHeight="1">
      <c r="A454" s="9"/>
      <c r="O454" s="9"/>
    </row>
    <row r="455" spans="1:15" ht="16.5" customHeight="1">
      <c r="A455" s="9"/>
      <c r="O455" s="9"/>
    </row>
    <row r="456" spans="1:15" ht="16.5" customHeight="1">
      <c r="A456" s="9"/>
      <c r="O456" s="9"/>
    </row>
    <row r="457" spans="1:15" ht="16.5" customHeight="1">
      <c r="A457" s="9"/>
      <c r="O457" s="9"/>
    </row>
    <row r="458" spans="1:15" ht="16.5" customHeight="1">
      <c r="A458" s="9"/>
      <c r="O458" s="9"/>
    </row>
    <row r="459" spans="1:15" ht="16.5" customHeight="1">
      <c r="A459" s="9"/>
      <c r="O459" s="9"/>
    </row>
    <row r="460" spans="1:15" ht="16.5" customHeight="1">
      <c r="A460" s="9"/>
      <c r="O460" s="9"/>
    </row>
    <row r="461" spans="1:15" ht="16.5" customHeight="1">
      <c r="A461" s="9"/>
      <c r="O461" s="9"/>
    </row>
    <row r="462" spans="1:15" ht="16.5" customHeight="1">
      <c r="A462" s="9"/>
      <c r="O462" s="9"/>
    </row>
    <row r="463" spans="1:15" ht="16.5" customHeight="1">
      <c r="A463" s="9"/>
      <c r="O463" s="9"/>
    </row>
    <row r="464" spans="1:15" ht="16.5" customHeight="1">
      <c r="A464" s="9"/>
      <c r="O464" s="9"/>
    </row>
    <row r="465" spans="1:15" ht="16.5" customHeight="1">
      <c r="A465" s="9"/>
      <c r="O465" s="9"/>
    </row>
    <row r="466" spans="1:15" ht="16.5" customHeight="1">
      <c r="A466" s="9"/>
      <c r="O466" s="9"/>
    </row>
    <row r="467" spans="1:15" ht="16.5" customHeight="1">
      <c r="A467" s="9"/>
      <c r="O467" s="9"/>
    </row>
    <row r="468" spans="1:15" ht="16.5" customHeight="1">
      <c r="A468" s="9"/>
      <c r="O468" s="9"/>
    </row>
    <row r="469" spans="1:15" ht="16.5" customHeight="1">
      <c r="A469" s="9"/>
      <c r="O469" s="9"/>
    </row>
    <row r="470" spans="1:15" ht="16.5" customHeight="1">
      <c r="A470" s="9"/>
      <c r="O470" s="9"/>
    </row>
    <row r="471" spans="1:15" ht="16.5" customHeight="1">
      <c r="A471" s="9"/>
      <c r="O471" s="9"/>
    </row>
    <row r="472" spans="1:15" ht="16.5" customHeight="1">
      <c r="A472" s="9"/>
      <c r="O472" s="9"/>
    </row>
    <row r="473" spans="1:15" ht="16.5" customHeight="1">
      <c r="A473" s="9"/>
      <c r="O473" s="9"/>
    </row>
    <row r="474" spans="1:15" ht="16.5" customHeight="1">
      <c r="A474" s="9"/>
      <c r="O474" s="9"/>
    </row>
    <row r="475" spans="1:15" ht="16.5" customHeight="1">
      <c r="A475" s="9"/>
      <c r="O475" s="9"/>
    </row>
    <row r="476" spans="1:15" ht="16.5" customHeight="1">
      <c r="A476" s="9"/>
      <c r="O476" s="9"/>
    </row>
    <row r="477" spans="1:15" ht="16.5" customHeight="1">
      <c r="A477" s="9"/>
      <c r="O477" s="9"/>
    </row>
    <row r="478" spans="1:15" ht="16.5" customHeight="1">
      <c r="A478" s="9"/>
      <c r="O478" s="9"/>
    </row>
    <row r="479" spans="1:15" ht="16.5" customHeight="1">
      <c r="A479" s="9"/>
      <c r="O479" s="9"/>
    </row>
    <row r="480" spans="1:15" ht="16.5" customHeight="1">
      <c r="A480" s="9"/>
      <c r="O480" s="9"/>
    </row>
    <row r="481" spans="1:15" ht="16.5" customHeight="1">
      <c r="A481" s="9"/>
      <c r="O481" s="9"/>
    </row>
    <row r="482" spans="1:15" ht="16.5" customHeight="1">
      <c r="A482" s="9"/>
      <c r="O482" s="9"/>
    </row>
    <row r="483" spans="1:15" ht="16.5" customHeight="1">
      <c r="A483" s="9"/>
      <c r="O483" s="9"/>
    </row>
    <row r="484" spans="1:15" ht="16.5" customHeight="1">
      <c r="A484" s="9"/>
      <c r="O484" s="9"/>
    </row>
    <row r="485" spans="1:15" ht="16.5" customHeight="1">
      <c r="A485" s="9"/>
      <c r="O485" s="9"/>
    </row>
    <row r="486" spans="1:15" ht="16.5" customHeight="1">
      <c r="A486" s="9"/>
      <c r="O486" s="9"/>
    </row>
    <row r="487" spans="1:15" ht="16.5" customHeight="1">
      <c r="A487" s="9"/>
      <c r="O487" s="9"/>
    </row>
    <row r="488" spans="1:15" ht="16.5" customHeight="1">
      <c r="A488" s="9"/>
      <c r="O488" s="9"/>
    </row>
    <row r="489" spans="1:15" ht="16.5" customHeight="1">
      <c r="A489" s="9"/>
      <c r="O489" s="9"/>
    </row>
    <row r="490" spans="1:15" ht="16.5" customHeight="1">
      <c r="A490" s="9"/>
      <c r="O490" s="9"/>
    </row>
    <row r="491" spans="1:15" ht="16.5" customHeight="1">
      <c r="A491" s="9"/>
      <c r="O491" s="9"/>
    </row>
    <row r="492" spans="1:15" ht="16.5" customHeight="1">
      <c r="A492" s="9"/>
      <c r="O492" s="9"/>
    </row>
    <row r="493" spans="1:15" ht="16.5" customHeight="1">
      <c r="A493" s="9"/>
      <c r="O493" s="9"/>
    </row>
    <row r="494" spans="1:15" ht="16.5" customHeight="1">
      <c r="A494" s="9"/>
      <c r="O494" s="9"/>
    </row>
    <row r="495" spans="1:15" ht="16.5" customHeight="1">
      <c r="A495" s="9"/>
      <c r="O495" s="9"/>
    </row>
    <row r="496" spans="1:15" ht="16.5" customHeight="1">
      <c r="A496" s="9"/>
      <c r="O496" s="9"/>
    </row>
    <row r="497" spans="1:15" ht="16.5" customHeight="1">
      <c r="A497" s="9"/>
      <c r="O497" s="9"/>
    </row>
    <row r="498" spans="1:15" ht="16.5" customHeight="1">
      <c r="A498" s="9"/>
      <c r="O498" s="9"/>
    </row>
    <row r="499" spans="1:15" ht="16.5" customHeight="1">
      <c r="A499" s="9"/>
      <c r="O499" s="9"/>
    </row>
    <row r="500" spans="1:15" ht="16.5" customHeight="1">
      <c r="A500" s="9"/>
      <c r="O500" s="9"/>
    </row>
    <row r="501" spans="1:15" ht="16.5" customHeight="1">
      <c r="A501" s="9"/>
      <c r="O501" s="9"/>
    </row>
    <row r="502" spans="1:15" ht="16.5" customHeight="1">
      <c r="A502" s="9"/>
      <c r="O502" s="9"/>
    </row>
    <row r="503" spans="1:15" ht="16.5" customHeight="1">
      <c r="A503" s="9"/>
      <c r="O503" s="9"/>
    </row>
    <row r="504" spans="1:15" ht="16.5" customHeight="1">
      <c r="A504" s="9"/>
      <c r="O504" s="9"/>
    </row>
    <row r="505" spans="1:15" ht="16.5" customHeight="1">
      <c r="A505" s="9"/>
      <c r="O505" s="9"/>
    </row>
    <row r="506" spans="1:15" ht="16.5" customHeight="1">
      <c r="A506" s="9"/>
      <c r="O506" s="9"/>
    </row>
    <row r="507" spans="1:15" ht="16.5" customHeight="1">
      <c r="A507" s="9"/>
      <c r="O507" s="9"/>
    </row>
    <row r="508" spans="1:15" ht="16.5" customHeight="1">
      <c r="A508" s="9"/>
      <c r="O508" s="9"/>
    </row>
    <row r="509" spans="1:15" ht="16.5" customHeight="1">
      <c r="A509" s="9"/>
      <c r="O509" s="9"/>
    </row>
    <row r="510" spans="1:15" ht="16.5" customHeight="1">
      <c r="A510" s="9"/>
      <c r="O510" s="9"/>
    </row>
    <row r="511" spans="1:15" ht="16.5" customHeight="1">
      <c r="A511" s="9"/>
      <c r="O511" s="9"/>
    </row>
    <row r="512" spans="1:15" ht="16.5" customHeight="1">
      <c r="A512" s="9"/>
      <c r="O512" s="9"/>
    </row>
    <row r="513" spans="1:15" ht="16.5" customHeight="1">
      <c r="A513" s="9"/>
      <c r="O513" s="9"/>
    </row>
    <row r="514" spans="1:15" ht="16.5" customHeight="1">
      <c r="A514" s="9"/>
      <c r="O514" s="9"/>
    </row>
    <row r="515" spans="1:15" ht="16.5" customHeight="1">
      <c r="A515" s="9"/>
      <c r="O515" s="9"/>
    </row>
    <row r="516" spans="1:15" ht="16.5" customHeight="1">
      <c r="A516" s="9"/>
      <c r="O516" s="9"/>
    </row>
    <row r="517" spans="1:15" ht="16.5" customHeight="1">
      <c r="A517" s="9"/>
      <c r="O517" s="9"/>
    </row>
    <row r="518" spans="1:15" ht="16.5" customHeight="1">
      <c r="A518" s="9"/>
      <c r="O518" s="9"/>
    </row>
    <row r="519" spans="1:15" ht="16.5" customHeight="1">
      <c r="A519" s="9"/>
      <c r="O519" s="9"/>
    </row>
    <row r="520" spans="1:15" ht="16.5" customHeight="1">
      <c r="A520" s="9"/>
      <c r="O520" s="9"/>
    </row>
    <row r="521" spans="1:15" ht="16.5" customHeight="1">
      <c r="A521" s="9"/>
      <c r="O521" s="9"/>
    </row>
    <row r="522" spans="1:15" ht="16.5" customHeight="1">
      <c r="A522" s="9"/>
      <c r="O522" s="9"/>
    </row>
    <row r="523" spans="1:15" ht="16.5" customHeight="1">
      <c r="A523" s="9"/>
      <c r="O523" s="9"/>
    </row>
    <row r="524" spans="1:15" ht="16.5" customHeight="1">
      <c r="A524" s="9"/>
      <c r="O524" s="9"/>
    </row>
    <row r="525" spans="1:15" ht="16.5" customHeight="1">
      <c r="A525" s="9"/>
      <c r="O525" s="9"/>
    </row>
    <row r="526" spans="1:15" ht="16.5" customHeight="1">
      <c r="A526" s="9"/>
      <c r="O526" s="9"/>
    </row>
    <row r="527" spans="1:15" ht="16.5" customHeight="1">
      <c r="A527" s="9"/>
      <c r="O527" s="9"/>
    </row>
    <row r="528" spans="1:15" ht="16.5" customHeight="1">
      <c r="A528" s="9"/>
      <c r="O528" s="9"/>
    </row>
    <row r="529" spans="1:15" ht="16.5" customHeight="1">
      <c r="A529" s="9"/>
      <c r="O529" s="9"/>
    </row>
    <row r="530" spans="1:15" ht="16.5" customHeight="1">
      <c r="A530" s="9"/>
      <c r="O530" s="9"/>
    </row>
    <row r="531" spans="1:15" ht="16.5" customHeight="1">
      <c r="A531" s="9"/>
      <c r="O531" s="9"/>
    </row>
    <row r="532" spans="1:15" ht="16.5" customHeight="1">
      <c r="A532" s="9"/>
      <c r="O532" s="9"/>
    </row>
    <row r="533" spans="1:15" ht="16.5" customHeight="1">
      <c r="A533" s="9"/>
      <c r="O533" s="9"/>
    </row>
    <row r="534" spans="1:15" ht="16.5" customHeight="1">
      <c r="A534" s="9"/>
      <c r="O534" s="9"/>
    </row>
    <row r="535" spans="1:15" ht="16.5" customHeight="1">
      <c r="A535" s="9"/>
      <c r="O535" s="9"/>
    </row>
    <row r="536" spans="1:15" ht="16.5" customHeight="1">
      <c r="A536" s="9"/>
      <c r="O536" s="9"/>
    </row>
    <row r="537" spans="1:15" ht="16.5" customHeight="1">
      <c r="A537" s="9"/>
      <c r="O537" s="9"/>
    </row>
    <row r="538" spans="1:15" ht="16.5" customHeight="1">
      <c r="A538" s="9"/>
      <c r="O538" s="9"/>
    </row>
    <row r="539" spans="1:15" ht="16.5" customHeight="1">
      <c r="A539" s="9"/>
      <c r="O539" s="9"/>
    </row>
    <row r="540" spans="1:15" ht="16.5" customHeight="1">
      <c r="A540" s="9"/>
      <c r="O540" s="9"/>
    </row>
    <row r="541" spans="1:15" ht="16.5" customHeight="1">
      <c r="A541" s="9"/>
      <c r="O541" s="9"/>
    </row>
    <row r="542" spans="1:15" ht="16.5" customHeight="1">
      <c r="A542" s="9"/>
      <c r="O542" s="9"/>
    </row>
    <row r="543" spans="1:15" ht="16.5" customHeight="1">
      <c r="A543" s="9"/>
      <c r="O543" s="9"/>
    </row>
    <row r="544" spans="1:15" ht="16.5" customHeight="1">
      <c r="A544" s="9"/>
      <c r="O544" s="9"/>
    </row>
    <row r="545" spans="1:15" ht="16.5" customHeight="1">
      <c r="A545" s="9"/>
      <c r="O545" s="9"/>
    </row>
    <row r="546" spans="1:15" ht="16.5" customHeight="1">
      <c r="A546" s="9"/>
      <c r="O546" s="9"/>
    </row>
    <row r="547" spans="1:15" ht="16.5" customHeight="1">
      <c r="A547" s="9"/>
      <c r="O547" s="9"/>
    </row>
    <row r="548" spans="1:15" ht="16.5" customHeight="1">
      <c r="A548" s="9"/>
      <c r="O548" s="9"/>
    </row>
    <row r="549" spans="1:15" ht="16.5" customHeight="1">
      <c r="A549" s="9"/>
      <c r="O549" s="9"/>
    </row>
    <row r="550" spans="1:15" ht="16.5" customHeight="1">
      <c r="A550" s="9"/>
      <c r="O550" s="9"/>
    </row>
    <row r="551" spans="1:15" ht="16.5" customHeight="1">
      <c r="A551" s="9"/>
      <c r="O551" s="9"/>
    </row>
    <row r="552" spans="1:15" ht="16.5" customHeight="1">
      <c r="A552" s="9"/>
      <c r="O552" s="9"/>
    </row>
    <row r="553" spans="1:15" ht="16.5" customHeight="1">
      <c r="A553" s="9"/>
      <c r="O553" s="9"/>
    </row>
    <row r="554" spans="1:15" ht="16.5" customHeight="1">
      <c r="A554" s="9"/>
      <c r="O554" s="9"/>
    </row>
    <row r="555" spans="1:15" ht="16.5" customHeight="1">
      <c r="A555" s="9"/>
      <c r="O555" s="9"/>
    </row>
    <row r="556" spans="1:15" ht="16.5" customHeight="1">
      <c r="A556" s="9"/>
      <c r="O556" s="9"/>
    </row>
    <row r="557" spans="1:15" ht="16.5" customHeight="1">
      <c r="A557" s="9"/>
      <c r="O557" s="9"/>
    </row>
    <row r="558" spans="1:15" ht="16.5" customHeight="1">
      <c r="A558" s="9"/>
      <c r="O558" s="9"/>
    </row>
    <row r="559" spans="1:15" ht="16.5" customHeight="1">
      <c r="A559" s="9"/>
      <c r="O559" s="9"/>
    </row>
    <row r="560" spans="1:15" ht="16.5" customHeight="1">
      <c r="A560" s="9"/>
      <c r="O560" s="9"/>
    </row>
    <row r="561" spans="1:15" ht="16.5" customHeight="1">
      <c r="A561" s="9"/>
      <c r="O561" s="9"/>
    </row>
    <row r="562" spans="1:15" ht="16.5" customHeight="1">
      <c r="A562" s="9"/>
      <c r="O562" s="9"/>
    </row>
    <row r="563" spans="1:15" ht="16.5" customHeight="1">
      <c r="A563" s="9"/>
      <c r="O563" s="9"/>
    </row>
    <row r="564" spans="1:15" ht="16.5" customHeight="1">
      <c r="A564" s="9"/>
      <c r="O564" s="9"/>
    </row>
    <row r="565" spans="1:15" ht="16.5" customHeight="1">
      <c r="A565" s="9"/>
      <c r="O565" s="9"/>
    </row>
    <row r="566" spans="1:15" ht="16.5" customHeight="1">
      <c r="A566" s="9"/>
      <c r="O566" s="9"/>
    </row>
    <row r="567" spans="1:15" ht="16.5" customHeight="1">
      <c r="A567" s="9"/>
      <c r="O567" s="9"/>
    </row>
    <row r="568" spans="1:15" ht="16.5" customHeight="1">
      <c r="A568" s="9"/>
      <c r="O568" s="9"/>
    </row>
    <row r="569" spans="1:15" ht="16.5" customHeight="1">
      <c r="A569" s="9"/>
      <c r="O569" s="9"/>
    </row>
    <row r="570" spans="1:15" ht="16.5" customHeight="1">
      <c r="A570" s="9"/>
      <c r="O570" s="9"/>
    </row>
    <row r="571" spans="1:15" ht="16.5" customHeight="1">
      <c r="A571" s="9"/>
      <c r="O571" s="9"/>
    </row>
    <row r="572" spans="1:15" ht="16.5" customHeight="1">
      <c r="A572" s="9"/>
      <c r="O572" s="9"/>
    </row>
    <row r="573" spans="1:15" ht="16.5" customHeight="1">
      <c r="A573" s="9"/>
      <c r="O573" s="9"/>
    </row>
    <row r="574" spans="1:15" ht="16.5" customHeight="1">
      <c r="A574" s="9"/>
      <c r="O574" s="9"/>
    </row>
    <row r="575" spans="1:15" ht="16.5" customHeight="1">
      <c r="A575" s="9"/>
      <c r="O575" s="9"/>
    </row>
    <row r="576" spans="1:15" ht="16.5" customHeight="1">
      <c r="A576" s="9"/>
      <c r="O576" s="9"/>
    </row>
    <row r="577" spans="1:15" ht="16.5" customHeight="1">
      <c r="A577" s="9"/>
      <c r="O577" s="9"/>
    </row>
    <row r="578" spans="1:15" ht="16.5" customHeight="1">
      <c r="A578" s="9"/>
      <c r="O578" s="9"/>
    </row>
    <row r="579" spans="1:15" ht="16.5" customHeight="1">
      <c r="A579" s="9"/>
      <c r="O579" s="9"/>
    </row>
    <row r="580" spans="1:15" ht="16.5" customHeight="1">
      <c r="A580" s="9"/>
      <c r="O580" s="9"/>
    </row>
    <row r="581" spans="1:15" ht="16.5" customHeight="1">
      <c r="A581" s="9"/>
      <c r="O581" s="9"/>
    </row>
    <row r="582" spans="1:15" ht="16.5" customHeight="1">
      <c r="A582" s="9"/>
      <c r="O582" s="9"/>
    </row>
    <row r="583" spans="1:15" ht="16.5" customHeight="1">
      <c r="A583" s="9"/>
      <c r="O583" s="9"/>
    </row>
    <row r="584" spans="1:15" ht="16.5" customHeight="1">
      <c r="A584" s="9"/>
      <c r="O584" s="9"/>
    </row>
    <row r="585" spans="1:15" ht="16.5" customHeight="1">
      <c r="A585" s="9"/>
      <c r="O585" s="9"/>
    </row>
    <row r="586" spans="1:15" ht="16.5" customHeight="1">
      <c r="A586" s="9"/>
      <c r="O586" s="9"/>
    </row>
    <row r="587" spans="1:15" ht="16.5" customHeight="1">
      <c r="A587" s="9"/>
      <c r="O587" s="9"/>
    </row>
    <row r="588" spans="1:15" ht="16.5" customHeight="1">
      <c r="A588" s="9"/>
      <c r="O588" s="9"/>
    </row>
    <row r="589" spans="1:15" ht="16.5" customHeight="1">
      <c r="A589" s="9"/>
      <c r="O589" s="9"/>
    </row>
    <row r="590" spans="1:15" ht="16.5" customHeight="1">
      <c r="A590" s="9"/>
      <c r="O590" s="9"/>
    </row>
    <row r="591" spans="1:15" ht="16.5" customHeight="1">
      <c r="A591" s="9"/>
      <c r="O591" s="9"/>
    </row>
    <row r="592" spans="1:15" ht="16.5" customHeight="1">
      <c r="A592" s="9"/>
      <c r="O592" s="9"/>
    </row>
    <row r="593" spans="1:15" ht="16.5" customHeight="1">
      <c r="A593" s="9"/>
      <c r="O593" s="9"/>
    </row>
    <row r="594" spans="1:15" ht="16.5" customHeight="1">
      <c r="A594" s="9"/>
      <c r="O594" s="9"/>
    </row>
    <row r="595" spans="1:15" ht="16.5" customHeight="1">
      <c r="A595" s="9"/>
      <c r="O595" s="9"/>
    </row>
    <row r="596" spans="1:15" ht="16.5" customHeight="1">
      <c r="A596" s="9"/>
      <c r="O596" s="9"/>
    </row>
    <row r="597" spans="1:15" ht="16.5" customHeight="1">
      <c r="A597" s="9"/>
      <c r="O597" s="9"/>
    </row>
    <row r="598" spans="1:15" ht="16.5" customHeight="1">
      <c r="A598" s="9"/>
      <c r="O598" s="9"/>
    </row>
    <row r="599" spans="1:15" ht="16.5" customHeight="1"/>
  </sheetData>
  <pageMargins left="0.7" right="0.7" top="0.75" bottom="0.75" header="0.3" footer="0.3"/>
  <pageSetup paperSize="9" orientation="landscape" horizontalDpi="0" verticalDpi="0" r:id="rId1"/>
  <drawing r:id="rId2"/>
  <tableParts count="3"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0F078-6475-4A6F-9B1E-B739ADD7A8F4}">
  <dimension ref="A1:J99"/>
  <sheetViews>
    <sheetView showGridLines="0" showRowColHeaders="0" zoomScaleNormal="100" workbookViewId="0">
      <pane ySplit="4" topLeftCell="A5" activePane="bottomLeft" state="frozen"/>
      <selection pane="bottomLeft"/>
    </sheetView>
  </sheetViews>
  <sheetFormatPr defaultColWidth="0" defaultRowHeight="16.5" customHeight="1" zeroHeight="1"/>
  <cols>
    <col min="1" max="2" width="3.140625" style="1" customWidth="1"/>
    <col min="3" max="3" width="28.5703125" style="1" customWidth="1"/>
    <col min="4" max="6" width="18.5703125" style="1" customWidth="1"/>
    <col min="7" max="8" width="13.5703125" style="1" customWidth="1"/>
    <col min="9" max="10" width="3.140625" style="1" customWidth="1"/>
    <col min="11" max="16384" width="8.7109375" style="1" hidden="1"/>
  </cols>
  <sheetData>
    <row r="1" spans="1:10" ht="29.45" customHeight="1">
      <c r="A1" s="9"/>
      <c r="C1" s="10" t="s">
        <v>0</v>
      </c>
      <c r="J1" s="9"/>
    </row>
    <row r="2" spans="1:10" ht="21" customHeight="1">
      <c r="A2" s="9"/>
      <c r="C2" s="11" t="s">
        <v>143</v>
      </c>
      <c r="J2" s="9"/>
    </row>
    <row r="3" spans="1:10" ht="14.45" customHeight="1">
      <c r="A3" s="9"/>
      <c r="C3" s="13" t="str" cm="1">
        <f t="array" ref="C3">"Período: "&amp;Periodo[Mês]&amp;" de "&amp;Periodo[Ano]</f>
        <v>Período: janeiro de 2024</v>
      </c>
      <c r="D3" s="14"/>
      <c r="E3" s="14"/>
      <c r="F3" s="13" t="s">
        <v>2</v>
      </c>
      <c r="J3" s="9"/>
    </row>
    <row r="4" spans="1:10" ht="7.5" customHeight="1">
      <c r="A4" s="9"/>
      <c r="J4" s="9"/>
    </row>
    <row r="5" spans="1:10" ht="21">
      <c r="A5" s="9"/>
      <c r="C5" s="6" t="s">
        <v>3</v>
      </c>
      <c r="J5" s="9"/>
    </row>
    <row r="6" spans="1:10">
      <c r="A6" s="9"/>
      <c r="C6" s="3" t="s">
        <v>144</v>
      </c>
      <c r="D6" s="4" t="str" cm="1">
        <f t="array" ref="D6">LEFT(Periodo[Mês],3)&amp;"/"&amp;Periodo[Ano]</f>
        <v>jan/2024</v>
      </c>
      <c r="E6" s="4" t="str" cm="1">
        <f t="array" ref="E6">LEFT(Periodo[Mês],3)&amp;"/"&amp;Periodo[Ano]-1</f>
        <v>jan/2023</v>
      </c>
      <c r="F6" s="4" t="str" cm="1">
        <f t="array" ref="F6">LEFT(Periodo[Mês],3)&amp;"/"&amp;Periodo[Ano]-2</f>
        <v>jan/2022</v>
      </c>
      <c r="G6" s="4" t="str" cm="1">
        <f t="array" ref="G6">Periodo[Ano]&amp;"x"&amp;Periodo[Ano]-1</f>
        <v>2024x2023</v>
      </c>
      <c r="H6" s="4" t="str" cm="1">
        <f t="array" ref="H6">Periodo[Ano]&amp;"x"&amp;Periodo[Ano]-2</f>
        <v>2024x2022</v>
      </c>
      <c r="I6" s="5"/>
      <c r="J6" s="9"/>
    </row>
    <row r="7" spans="1:10">
      <c r="A7" s="9"/>
      <c r="C7" s="15" t="s">
        <v>145</v>
      </c>
      <c r="D7" s="16">
        <v>4996750.8152999999</v>
      </c>
      <c r="E7" s="16">
        <v>5944975.5099999998</v>
      </c>
      <c r="F7" s="16">
        <v>4734242.5999999996</v>
      </c>
      <c r="G7" s="17">
        <v>-0.15950018517401701</v>
      </c>
      <c r="H7" s="17">
        <v>5.5448830463399303E-2</v>
      </c>
      <c r="J7" s="9"/>
    </row>
    <row r="8" spans="1:10">
      <c r="A8" s="9"/>
      <c r="C8" s="15" t="s">
        <v>146</v>
      </c>
      <c r="D8" s="16">
        <v>1590200.44</v>
      </c>
      <c r="E8" s="16">
        <v>1474815.08</v>
      </c>
      <c r="F8" s="16">
        <v>2503678.08</v>
      </c>
      <c r="G8" s="17">
        <v>7.8237171266244604E-2</v>
      </c>
      <c r="H8" s="17">
        <v>-0.364854270721578</v>
      </c>
      <c r="J8" s="9"/>
    </row>
    <row r="9" spans="1:10">
      <c r="A9" s="9"/>
      <c r="C9" s="15" t="s">
        <v>147</v>
      </c>
      <c r="D9" s="16">
        <v>238575</v>
      </c>
      <c r="E9" s="16">
        <v>68629.600000000006</v>
      </c>
      <c r="F9" s="16">
        <v>155036.29999999999</v>
      </c>
      <c r="G9" s="17">
        <v>2.4762697145255101</v>
      </c>
      <c r="H9" s="17">
        <v>0.53883316358814004</v>
      </c>
      <c r="J9" s="9"/>
    </row>
    <row r="10" spans="1:10">
      <c r="A10" s="9"/>
      <c r="C10" s="15" t="s">
        <v>148</v>
      </c>
      <c r="D10" s="16">
        <v>16510.8</v>
      </c>
      <c r="E10" s="16">
        <v>2250.4</v>
      </c>
      <c r="F10" s="16">
        <v>1036.8</v>
      </c>
      <c r="G10" s="17">
        <v>6.3368290081763199</v>
      </c>
      <c r="H10" s="17">
        <v>14.9247685185185</v>
      </c>
      <c r="J10" s="9"/>
    </row>
    <row r="11" spans="1:10">
      <c r="A11" s="9"/>
      <c r="C11" s="2" t="s">
        <v>8</v>
      </c>
      <c r="D11" s="12">
        <f>SUBTOTAL(109,ProdutoPesoMensal['[CY']])</f>
        <v>6842037.0553000001</v>
      </c>
      <c r="E11" s="12">
        <f>SUBTOTAL(109,ProdutoPesoMensal['[LY']])</f>
        <v>7490670.5899999999</v>
      </c>
      <c r="F11" s="12">
        <f>SUBTOTAL(109,ProdutoPesoMensal['[2YA']])</f>
        <v>7393993.7799999993</v>
      </c>
      <c r="G11" s="8">
        <f>ProdutoPesoMensal[[#Totals],['[CY']]]/ProdutoPesoMensal[[#Totals],['[LY']]]-1</f>
        <v>-8.6592185159753421E-2</v>
      </c>
      <c r="H11" s="8">
        <f>ProdutoPesoMensal[[#Totals],['[CY']]]/ProdutoPesoMensal[[#Totals],['[2YA']]]-1</f>
        <v>-7.464933581537303E-2</v>
      </c>
      <c r="J11" s="9"/>
    </row>
    <row r="12" spans="1:10">
      <c r="A12" s="9"/>
      <c r="C12" s="7" t="s">
        <v>9</v>
      </c>
      <c r="J12" s="9"/>
    </row>
    <row r="13" spans="1:10">
      <c r="A13" s="9"/>
      <c r="J13" s="9"/>
    </row>
    <row r="14" spans="1:10">
      <c r="A14" s="9"/>
      <c r="C14" s="1" t="str" cm="1">
        <f t="array" ref="C14:H17">_xlfn._xlws.SORT(_xlfn._xlws.FILTER(ProdutoPesoMensal[],ProdutoPesoMensal['[CY']]&gt;=LARGE(ProdutoPesoMensal['[CY']],MIN(4,ROWS(ProdutoPesoMensal[])))),2,1)</f>
        <v>COFFEE PREPARATION</v>
      </c>
      <c r="D14" s="1">
        <v>16510.8</v>
      </c>
      <c r="E14" s="1">
        <v>2250.4</v>
      </c>
      <c r="F14" s="1">
        <v>1036.8</v>
      </c>
      <c r="G14" s="1">
        <v>6.3368290081763199</v>
      </c>
      <c r="H14" s="1">
        <v>14.9247685185185</v>
      </c>
      <c r="J14" s="9"/>
    </row>
    <row r="15" spans="1:10">
      <c r="A15" s="9"/>
      <c r="C15" s="1" t="str">
        <v>EXTRACT</v>
      </c>
      <c r="D15" s="1">
        <v>238575</v>
      </c>
      <c r="E15" s="1">
        <v>68629.600000000006</v>
      </c>
      <c r="F15" s="1">
        <v>155036.29999999999</v>
      </c>
      <c r="G15" s="1">
        <v>2.4762697145255101</v>
      </c>
      <c r="H15" s="1">
        <v>0.53883316358814004</v>
      </c>
      <c r="J15" s="9"/>
    </row>
    <row r="16" spans="1:10">
      <c r="A16" s="9"/>
      <c r="C16" s="1" t="str">
        <v>FREEZE DRIED</v>
      </c>
      <c r="D16" s="1">
        <v>1590200.44</v>
      </c>
      <c r="E16" s="1">
        <v>1474815.08</v>
      </c>
      <c r="F16" s="1">
        <v>2503678.08</v>
      </c>
      <c r="G16" s="1">
        <v>7.8237171266244604E-2</v>
      </c>
      <c r="H16" s="1">
        <v>-0.364854270721578</v>
      </c>
      <c r="J16" s="9"/>
    </row>
    <row r="17" spans="1:10">
      <c r="A17" s="9"/>
      <c r="C17" s="1" t="str">
        <v>SPRAY DRIED</v>
      </c>
      <c r="D17" s="1">
        <v>4996750.8152999999</v>
      </c>
      <c r="E17" s="1">
        <v>5944975.5099999998</v>
      </c>
      <c r="F17" s="1">
        <v>4734242.5999999996</v>
      </c>
      <c r="G17" s="1">
        <v>-0.15950018517401701</v>
      </c>
      <c r="H17" s="1">
        <v>5.5448830463399303E-2</v>
      </c>
      <c r="J17" s="9"/>
    </row>
    <row r="18" spans="1:10">
      <c r="A18" s="9"/>
      <c r="J18" s="9"/>
    </row>
    <row r="19" spans="1:10" ht="16.5" customHeight="1">
      <c r="A19" s="9"/>
      <c r="J19" s="9"/>
    </row>
    <row r="20" spans="1:10" ht="16.5" customHeight="1">
      <c r="A20" s="9"/>
      <c r="J20" s="9"/>
    </row>
    <row r="21" spans="1:10" ht="16.5" customHeight="1">
      <c r="A21" s="9"/>
      <c r="J21" s="9"/>
    </row>
    <row r="22" spans="1:10" ht="16.5" customHeight="1">
      <c r="A22" s="9"/>
      <c r="J22" s="9"/>
    </row>
    <row r="23" spans="1:10" ht="16.5" customHeight="1">
      <c r="A23" s="9"/>
      <c r="J23" s="9"/>
    </row>
    <row r="24" spans="1:10" ht="16.5" customHeight="1">
      <c r="A24" s="9"/>
      <c r="J24" s="9"/>
    </row>
    <row r="25" spans="1:10" ht="16.5" customHeight="1">
      <c r="A25" s="9"/>
      <c r="J25" s="9"/>
    </row>
    <row r="26" spans="1:10" ht="16.5" customHeight="1">
      <c r="A26" s="9"/>
      <c r="J26" s="9"/>
    </row>
    <row r="27" spans="1:10" ht="16.5" customHeight="1">
      <c r="A27" s="9"/>
      <c r="J27" s="9"/>
    </row>
    <row r="28" spans="1:10" ht="16.5" customHeight="1">
      <c r="A28" s="9"/>
      <c r="J28" s="9"/>
    </row>
    <row r="29" spans="1:10" ht="16.5" customHeight="1">
      <c r="A29" s="9"/>
      <c r="C29" s="6" t="s">
        <v>10</v>
      </c>
      <c r="J29" s="9"/>
    </row>
    <row r="30" spans="1:10" ht="16.5" customHeight="1">
      <c r="A30" s="9"/>
      <c r="C30" s="3" t="s">
        <v>144</v>
      </c>
      <c r="D30" s="4" t="str" cm="1">
        <f t="array" ref="D30:H30">D6:H6</f>
        <v>jan/2024</v>
      </c>
      <c r="E30" s="4" t="str">
        <v>jan/2023</v>
      </c>
      <c r="F30" s="4" t="str">
        <v>jan/2022</v>
      </c>
      <c r="G30" s="4" t="str">
        <v>2024x2023</v>
      </c>
      <c r="H30" s="4" t="str">
        <v>2024x2022</v>
      </c>
      <c r="J30" s="9"/>
    </row>
    <row r="31" spans="1:10" ht="16.5" customHeight="1">
      <c r="A31" s="9"/>
      <c r="C31" s="15" t="s">
        <v>145</v>
      </c>
      <c r="D31" s="16">
        <v>213988</v>
      </c>
      <c r="E31" s="16">
        <v>257474</v>
      </c>
      <c r="F31" s="16">
        <v>205144</v>
      </c>
      <c r="G31" s="17">
        <v>-0.16889472335070699</v>
      </c>
      <c r="H31" s="17">
        <v>4.3111180439106202E-2</v>
      </c>
      <c r="J31" s="9"/>
    </row>
    <row r="32" spans="1:10" ht="16.5" customHeight="1">
      <c r="A32" s="9"/>
      <c r="C32" s="15" t="s">
        <v>146</v>
      </c>
      <c r="D32" s="16">
        <v>68911</v>
      </c>
      <c r="E32" s="16">
        <v>63886</v>
      </c>
      <c r="F32" s="16">
        <v>108521</v>
      </c>
      <c r="G32" s="17">
        <v>7.8655730519988601E-2</v>
      </c>
      <c r="H32" s="17">
        <v>-0.36499847955695203</v>
      </c>
      <c r="J32" s="9"/>
    </row>
    <row r="33" spans="1:10" ht="16.5" customHeight="1">
      <c r="A33" s="9"/>
      <c r="C33" s="15" t="s">
        <v>147</v>
      </c>
      <c r="D33" s="16">
        <v>10339</v>
      </c>
      <c r="E33" s="16">
        <v>2974</v>
      </c>
      <c r="F33" s="16">
        <v>6719</v>
      </c>
      <c r="G33" s="17">
        <v>2.47646267652993</v>
      </c>
      <c r="H33" s="17">
        <v>0.53877065039440397</v>
      </c>
      <c r="J33" s="9"/>
    </row>
    <row r="34" spans="1:10" ht="16.5" customHeight="1">
      <c r="A34" s="9"/>
      <c r="C34" s="15" t="s">
        <v>148</v>
      </c>
      <c r="D34" s="16">
        <v>229</v>
      </c>
      <c r="E34" s="16">
        <v>97</v>
      </c>
      <c r="F34" s="16">
        <v>45</v>
      </c>
      <c r="G34" s="17">
        <v>1.36082474226804</v>
      </c>
      <c r="H34" s="17">
        <v>4.0888888888888903</v>
      </c>
      <c r="J34" s="9"/>
    </row>
    <row r="35" spans="1:10" ht="16.5" customHeight="1">
      <c r="A35" s="9"/>
      <c r="C35" s="2" t="s">
        <v>8</v>
      </c>
      <c r="D35" s="12">
        <f>SUBTOTAL(109,ProdutoSacaMensal['[CY']])</f>
        <v>293467</v>
      </c>
      <c r="E35" s="12">
        <f>SUBTOTAL(109,ProdutoSacaMensal['[LY']])</f>
        <v>324431</v>
      </c>
      <c r="F35" s="12">
        <f>SUBTOTAL(109,ProdutoSacaMensal['[2YA']])</f>
        <v>320429</v>
      </c>
      <c r="G35" s="8">
        <f>ProdutoSacaMensal[[#Totals],['[CY']]]/ProdutoSacaMensal[[#Totals],['[LY']]]-1</f>
        <v>-9.5440941217084685E-2</v>
      </c>
      <c r="H35" s="8">
        <f>ProdutoSacaMensal[[#Totals],['[CY']]]/ProdutoSacaMensal[[#Totals],['[2YA']]]-1</f>
        <v>-8.4143445193787025E-2</v>
      </c>
      <c r="J35" s="9"/>
    </row>
    <row r="36" spans="1:10" ht="16.5" customHeight="1">
      <c r="A36" s="9"/>
      <c r="C36" s="7" t="s">
        <v>9</v>
      </c>
      <c r="J36" s="9"/>
    </row>
    <row r="37" spans="1:10" ht="16.5" customHeight="1">
      <c r="A37" s="9"/>
      <c r="J37" s="9"/>
    </row>
    <row r="38" spans="1:10" ht="16.5" customHeight="1">
      <c r="A38" s="9"/>
      <c r="C38" s="1" t="str" cm="1">
        <f t="array" ref="C38:H41">_xlfn._xlws.SORT(_xlfn._xlws.FILTER(ProdutoSacaMensal[],ProdutoSacaMensal['[CY']]&gt;=LARGE(ProdutoSacaMensal['[CY']],MIN(4,ROWS(ProdutoSacaMensal[])))),2,1)</f>
        <v>COFFEE PREPARATION</v>
      </c>
      <c r="D38" s="1">
        <v>229</v>
      </c>
      <c r="E38" s="1">
        <v>97</v>
      </c>
      <c r="F38" s="1">
        <v>45</v>
      </c>
      <c r="G38" s="1">
        <v>1.36082474226804</v>
      </c>
      <c r="H38" s="1">
        <v>4.0888888888888903</v>
      </c>
      <c r="J38" s="9"/>
    </row>
    <row r="39" spans="1:10" ht="16.5" customHeight="1">
      <c r="A39" s="9"/>
      <c r="C39" s="1" t="str">
        <v>EXTRACT</v>
      </c>
      <c r="D39" s="1">
        <v>10339</v>
      </c>
      <c r="E39" s="1">
        <v>2974</v>
      </c>
      <c r="F39" s="1">
        <v>6719</v>
      </c>
      <c r="G39" s="1">
        <v>2.47646267652993</v>
      </c>
      <c r="H39" s="1">
        <v>0.53877065039440397</v>
      </c>
      <c r="J39" s="9"/>
    </row>
    <row r="40" spans="1:10" ht="16.5" customHeight="1">
      <c r="A40" s="9"/>
      <c r="C40" s="1" t="str">
        <v>FREEZE DRIED</v>
      </c>
      <c r="D40" s="1">
        <v>68911</v>
      </c>
      <c r="E40" s="1">
        <v>63886</v>
      </c>
      <c r="F40" s="1">
        <v>108521</v>
      </c>
      <c r="G40" s="1">
        <v>7.8655730519988601E-2</v>
      </c>
      <c r="H40" s="1">
        <v>-0.36499847955695203</v>
      </c>
      <c r="J40" s="9"/>
    </row>
    <row r="41" spans="1:10" ht="16.5" customHeight="1">
      <c r="A41" s="9"/>
      <c r="C41" s="1" t="str">
        <v>SPRAY DRIED</v>
      </c>
      <c r="D41" s="1">
        <v>213988</v>
      </c>
      <c r="E41" s="1">
        <v>257474</v>
      </c>
      <c r="F41" s="1">
        <v>205144</v>
      </c>
      <c r="G41" s="1">
        <v>-0.16889472335070699</v>
      </c>
      <c r="H41" s="1">
        <v>4.3111180439106202E-2</v>
      </c>
      <c r="J41" s="9"/>
    </row>
    <row r="42" spans="1:10" ht="16.5" customHeight="1">
      <c r="A42" s="9"/>
      <c r="J42" s="9"/>
    </row>
    <row r="43" spans="1:10" ht="16.5" customHeight="1">
      <c r="A43" s="9"/>
      <c r="J43" s="9"/>
    </row>
    <row r="44" spans="1:10" ht="16.5" customHeight="1">
      <c r="A44" s="9"/>
      <c r="J44" s="9"/>
    </row>
    <row r="45" spans="1:10" ht="16.5" customHeight="1">
      <c r="A45" s="9"/>
      <c r="J45" s="9"/>
    </row>
    <row r="46" spans="1:10" ht="16.5" customHeight="1">
      <c r="A46" s="9"/>
      <c r="J46" s="9"/>
    </row>
    <row r="47" spans="1:10" ht="16.5" customHeight="1">
      <c r="A47" s="9"/>
      <c r="J47" s="9"/>
    </row>
    <row r="48" spans="1:10" ht="16.5" customHeight="1">
      <c r="A48" s="9"/>
      <c r="J48" s="9"/>
    </row>
    <row r="49" spans="1:10" ht="16.5" customHeight="1">
      <c r="A49" s="9"/>
      <c r="J49" s="9"/>
    </row>
    <row r="50" spans="1:10" ht="16.5" customHeight="1">
      <c r="A50" s="9"/>
      <c r="J50" s="9"/>
    </row>
    <row r="51" spans="1:10" ht="16.5" customHeight="1">
      <c r="A51" s="9"/>
      <c r="J51" s="9"/>
    </row>
    <row r="52" spans="1:10" ht="16.5" customHeight="1">
      <c r="A52" s="9"/>
      <c r="J52" s="9"/>
    </row>
    <row r="53" spans="1:10" ht="16.5" customHeight="1">
      <c r="A53" s="9"/>
      <c r="C53" s="6" t="s">
        <v>11</v>
      </c>
      <c r="J53" s="9"/>
    </row>
    <row r="54" spans="1:10" ht="16.5" customHeight="1">
      <c r="A54" s="9"/>
      <c r="C54" s="3" t="s">
        <v>144</v>
      </c>
      <c r="D54" s="4" t="str" cm="1">
        <f t="array" ref="D54:H54">D6:H6</f>
        <v>jan/2024</v>
      </c>
      <c r="E54" s="4" t="str">
        <v>jan/2023</v>
      </c>
      <c r="F54" s="4" t="str">
        <v>jan/2022</v>
      </c>
      <c r="G54" s="4" t="str">
        <v>2024x2023</v>
      </c>
      <c r="H54" s="4" t="str">
        <v>2024x2022</v>
      </c>
      <c r="J54" s="9"/>
    </row>
    <row r="55" spans="1:10" ht="16.5" customHeight="1">
      <c r="A55" s="9"/>
      <c r="C55" s="15" t="s">
        <v>145</v>
      </c>
      <c r="D55" s="16">
        <v>39985285.203699999</v>
      </c>
      <c r="E55" s="16">
        <v>46600848.455499999</v>
      </c>
      <c r="F55" s="16">
        <v>35000657.140000001</v>
      </c>
      <c r="G55" s="17">
        <v>-0.14196229191228801</v>
      </c>
      <c r="H55" s="17">
        <v>0.142415270769399</v>
      </c>
      <c r="J55" s="9"/>
    </row>
    <row r="56" spans="1:10" ht="16.5" customHeight="1">
      <c r="A56" s="9"/>
      <c r="C56" s="15" t="s">
        <v>146</v>
      </c>
      <c r="D56" s="16">
        <v>14581314.609999999</v>
      </c>
      <c r="E56" s="16">
        <v>13808233.060000001</v>
      </c>
      <c r="F56" s="16">
        <v>15648517.130000001</v>
      </c>
      <c r="G56" s="17">
        <v>5.5987000410608702E-2</v>
      </c>
      <c r="H56" s="17">
        <v>-6.8198316245189294E-2</v>
      </c>
      <c r="J56" s="9"/>
    </row>
    <row r="57" spans="1:10" ht="16.5" customHeight="1">
      <c r="A57" s="9"/>
      <c r="C57" s="15" t="s">
        <v>147</v>
      </c>
      <c r="D57" s="16">
        <v>1112024.45</v>
      </c>
      <c r="E57" s="16">
        <v>829681.25</v>
      </c>
      <c r="F57" s="16">
        <v>1769021.15</v>
      </c>
      <c r="G57" s="17">
        <v>0.340303218856639</v>
      </c>
      <c r="H57" s="17">
        <v>-0.37138996331389301</v>
      </c>
      <c r="J57" s="9"/>
    </row>
    <row r="58" spans="1:10" ht="16.5" customHeight="1">
      <c r="A58" s="9"/>
      <c r="C58" s="15" t="s">
        <v>148</v>
      </c>
      <c r="D58" s="16">
        <v>117262.62</v>
      </c>
      <c r="E58" s="16">
        <v>19857.21</v>
      </c>
      <c r="F58" s="16">
        <v>7486.1</v>
      </c>
      <c r="G58" s="17">
        <v>4.9052918310276201</v>
      </c>
      <c r="H58" s="17">
        <v>14.6640466998838</v>
      </c>
      <c r="J58" s="9"/>
    </row>
    <row r="59" spans="1:10" ht="16.5" customHeight="1">
      <c r="A59" s="9"/>
      <c r="C59" s="2" t="s">
        <v>8</v>
      </c>
      <c r="D59" s="12">
        <f>SUBTOTAL(109,ProdutoReceitaMensal['[CY']])</f>
        <v>55795886.883699998</v>
      </c>
      <c r="E59" s="12">
        <f>SUBTOTAL(109,ProdutoReceitaMensal['[LY']])</f>
        <v>61258619.975500003</v>
      </c>
      <c r="F59" s="12">
        <f>SUBTOTAL(109,ProdutoReceitaMensal['[2YA']])</f>
        <v>52425681.520000003</v>
      </c>
      <c r="G59" s="8">
        <f>ProdutoReceitaMensal[[#Totals],['[CY']]]/ProdutoReceitaMensal[[#Totals],['[LY']]]-1</f>
        <v>-8.9174929079120502E-2</v>
      </c>
      <c r="H59" s="8">
        <f>ProdutoReceitaMensal[[#Totals],['[CY']]]/ProdutoReceitaMensal[[#Totals],['[2YA']]]-1</f>
        <v>6.428538964084396E-2</v>
      </c>
      <c r="J59" s="9"/>
    </row>
    <row r="60" spans="1:10" ht="16.5" customHeight="1">
      <c r="A60" s="9"/>
      <c r="C60" s="7" t="s">
        <v>9</v>
      </c>
      <c r="J60" s="9"/>
    </row>
    <row r="61" spans="1:10" ht="16.5" customHeight="1">
      <c r="A61" s="9"/>
      <c r="J61" s="9"/>
    </row>
    <row r="62" spans="1:10" ht="16.5" customHeight="1">
      <c r="A62" s="9"/>
      <c r="C62" s="1" t="str" cm="1">
        <f t="array" ref="C62:H65">_xlfn._xlws.SORT(_xlfn._xlws.FILTER(ProdutoReceitaMensal[],ProdutoReceitaMensal['[CY']]&gt;=LARGE(ProdutoReceitaMensal['[CY']],MIN(4,ROWS(ProdutoReceitaMensal[])))),2,1)</f>
        <v>COFFEE PREPARATION</v>
      </c>
      <c r="D62" s="1">
        <v>117262.62</v>
      </c>
      <c r="E62" s="1">
        <v>19857.21</v>
      </c>
      <c r="F62" s="1">
        <v>7486.1</v>
      </c>
      <c r="G62" s="1">
        <v>4.9052918310276201</v>
      </c>
      <c r="H62" s="1">
        <v>14.6640466998838</v>
      </c>
      <c r="J62" s="9"/>
    </row>
    <row r="63" spans="1:10" ht="16.5" customHeight="1">
      <c r="A63" s="9"/>
      <c r="C63" s="1" t="str">
        <v>EXTRACT</v>
      </c>
      <c r="D63" s="1">
        <v>1112024.45</v>
      </c>
      <c r="E63" s="1">
        <v>829681.25</v>
      </c>
      <c r="F63" s="1">
        <v>1769021.15</v>
      </c>
      <c r="G63" s="1">
        <v>0.340303218856639</v>
      </c>
      <c r="H63" s="1">
        <v>-0.37138996331389301</v>
      </c>
      <c r="J63" s="9"/>
    </row>
    <row r="64" spans="1:10" ht="16.5" customHeight="1">
      <c r="A64" s="9"/>
      <c r="C64" s="1" t="str">
        <v>FREEZE DRIED</v>
      </c>
      <c r="D64" s="1">
        <v>14581314.609999999</v>
      </c>
      <c r="E64" s="1">
        <v>13808233.060000001</v>
      </c>
      <c r="F64" s="1">
        <v>15648517.130000001</v>
      </c>
      <c r="G64" s="1">
        <v>5.5987000410608702E-2</v>
      </c>
      <c r="H64" s="1">
        <v>-6.8198316245189294E-2</v>
      </c>
      <c r="J64" s="9"/>
    </row>
    <row r="65" spans="1:10" ht="16.5" customHeight="1">
      <c r="A65" s="9"/>
      <c r="C65" s="1" t="str">
        <v>SPRAY DRIED</v>
      </c>
      <c r="D65" s="1">
        <v>39985285.203699999</v>
      </c>
      <c r="E65" s="1">
        <v>46600848.455499999</v>
      </c>
      <c r="F65" s="1">
        <v>35000657.140000001</v>
      </c>
      <c r="G65" s="1">
        <v>-0.14196229191228801</v>
      </c>
      <c r="H65" s="1">
        <v>0.142415270769399</v>
      </c>
      <c r="J65" s="9"/>
    </row>
    <row r="66" spans="1:10" ht="16.5" customHeight="1">
      <c r="A66" s="9"/>
      <c r="J66" s="9"/>
    </row>
    <row r="67" spans="1:10" ht="16.5" customHeight="1">
      <c r="A67" s="9"/>
      <c r="J67" s="9"/>
    </row>
    <row r="68" spans="1:10" ht="16.5" customHeight="1">
      <c r="A68" s="9"/>
      <c r="J68" s="9"/>
    </row>
    <row r="69" spans="1:10" ht="16.5" customHeight="1">
      <c r="A69" s="9"/>
      <c r="J69" s="9"/>
    </row>
    <row r="70" spans="1:10" ht="16.5" customHeight="1">
      <c r="A70" s="9"/>
      <c r="J70" s="9"/>
    </row>
    <row r="71" spans="1:10" ht="16.5" customHeight="1">
      <c r="A71" s="9"/>
      <c r="J71" s="9"/>
    </row>
    <row r="72" spans="1:10" ht="16.5" customHeight="1">
      <c r="A72" s="9"/>
      <c r="J72" s="9"/>
    </row>
    <row r="73" spans="1:10" ht="16.5" customHeight="1">
      <c r="A73" s="9"/>
      <c r="J73" s="9"/>
    </row>
    <row r="74" spans="1:10" ht="16.5" customHeight="1">
      <c r="A74" s="9"/>
      <c r="J74" s="9"/>
    </row>
    <row r="75" spans="1:10" ht="16.5" customHeight="1">
      <c r="A75" s="9"/>
      <c r="J75" s="9"/>
    </row>
    <row r="76" spans="1:10" ht="16.5" customHeight="1">
      <c r="A76" s="9"/>
      <c r="J76" s="9"/>
    </row>
    <row r="77" spans="1:10" ht="16.5" customHeight="1">
      <c r="A77" s="9"/>
      <c r="J77" s="9"/>
    </row>
    <row r="78" spans="1:10" ht="16.5" customHeight="1">
      <c r="A78" s="9"/>
      <c r="J78" s="9"/>
    </row>
    <row r="79" spans="1:10" ht="16.5" customHeight="1">
      <c r="A79" s="9"/>
      <c r="J79" s="9"/>
    </row>
    <row r="80" spans="1:10" ht="16.5" customHeight="1">
      <c r="A80" s="9"/>
      <c r="J80" s="9"/>
    </row>
    <row r="81" spans="1:10" ht="16.5" customHeight="1">
      <c r="A81" s="9"/>
      <c r="J81" s="9"/>
    </row>
    <row r="82" spans="1:10" ht="16.5" customHeight="1">
      <c r="A82" s="9"/>
      <c r="J82" s="9"/>
    </row>
    <row r="83" spans="1:10" ht="16.5" customHeight="1">
      <c r="A83" s="9"/>
      <c r="J83" s="9"/>
    </row>
    <row r="84" spans="1:10" ht="16.5" customHeight="1">
      <c r="A84" s="9"/>
      <c r="J84" s="9"/>
    </row>
    <row r="85" spans="1:10" ht="16.5" customHeight="1">
      <c r="A85" s="9"/>
      <c r="J85" s="9"/>
    </row>
    <row r="86" spans="1:10" ht="16.5" customHeight="1">
      <c r="A86" s="9"/>
      <c r="J86" s="9"/>
    </row>
    <row r="87" spans="1:10" ht="16.5" customHeight="1">
      <c r="A87" s="9"/>
      <c r="J87" s="9"/>
    </row>
    <row r="88" spans="1:10" ht="16.5" customHeight="1">
      <c r="A88" s="9"/>
      <c r="J88" s="9"/>
    </row>
    <row r="89" spans="1:10" ht="16.5" customHeight="1">
      <c r="A89" s="9"/>
      <c r="J89" s="9"/>
    </row>
    <row r="90" spans="1:10" ht="16.5" customHeight="1">
      <c r="A90" s="9"/>
      <c r="J90" s="9"/>
    </row>
    <row r="91" spans="1:10" ht="16.5" customHeight="1">
      <c r="A91" s="9"/>
      <c r="J91" s="9"/>
    </row>
    <row r="92" spans="1:10" ht="16.5" customHeight="1">
      <c r="A92" s="9"/>
      <c r="J92" s="9"/>
    </row>
    <row r="93" spans="1:10" ht="16.5" customHeight="1">
      <c r="A93" s="9"/>
      <c r="J93" s="9"/>
    </row>
    <row r="94" spans="1:10" ht="16.5" customHeight="1">
      <c r="A94" s="9"/>
      <c r="J94" s="9"/>
    </row>
    <row r="95" spans="1:10" ht="16.5" customHeight="1">
      <c r="A95" s="9"/>
      <c r="J95" s="9"/>
    </row>
    <row r="96" spans="1:10" ht="16.5" customHeight="1">
      <c r="A96" s="9"/>
      <c r="J96" s="9"/>
    </row>
    <row r="97" spans="1:10" ht="16.5" customHeight="1">
      <c r="A97" s="9"/>
      <c r="J97" s="9"/>
    </row>
    <row r="98" spans="1:10" ht="16.5" customHeight="1">
      <c r="A98" s="9"/>
      <c r="J98" s="9"/>
    </row>
    <row r="99" spans="1:10" ht="16.5" customHeight="1"/>
  </sheetData>
  <pageMargins left="0.7" right="0.7" top="0.75" bottom="0.75" header="0.3" footer="0.3"/>
  <pageSetup paperSize="9" orientation="landscape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C47B-8A85-4512-829C-BF87196476E6}">
  <dimension ref="A1:J99"/>
  <sheetViews>
    <sheetView showGridLines="0" showRowColHeaders="0" zoomScaleNormal="100" workbookViewId="0">
      <pane ySplit="4" topLeftCell="A5" activePane="bottomLeft" state="frozen"/>
      <selection pane="bottomLeft"/>
    </sheetView>
  </sheetViews>
  <sheetFormatPr defaultColWidth="0" defaultRowHeight="16.5" customHeight="1" zeroHeight="1"/>
  <cols>
    <col min="1" max="2" width="3.140625" style="1" customWidth="1"/>
    <col min="3" max="3" width="28.5703125" style="1" customWidth="1"/>
    <col min="4" max="6" width="18.5703125" style="1" customWidth="1"/>
    <col min="7" max="8" width="13.5703125" style="1" customWidth="1"/>
    <col min="9" max="10" width="3.140625" style="1" customWidth="1"/>
    <col min="11" max="16384" width="8.7109375" style="1" hidden="1"/>
  </cols>
  <sheetData>
    <row r="1" spans="1:10" ht="29.45" customHeight="1">
      <c r="A1" s="9"/>
      <c r="C1" s="10" t="s">
        <v>0</v>
      </c>
      <c r="J1" s="9"/>
    </row>
    <row r="2" spans="1:10" ht="21" customHeight="1">
      <c r="A2" s="9"/>
      <c r="C2" s="11" t="s">
        <v>143</v>
      </c>
      <c r="J2" s="9"/>
    </row>
    <row r="3" spans="1:10" ht="14.45" customHeight="1">
      <c r="A3" s="9"/>
      <c r="C3" s="13" t="str" cm="1">
        <f t="array" ref="C3">"Período: janeiro a "&amp;Periodo[Mês]&amp;" de "&amp;Periodo[Ano]</f>
        <v>Período: janeiro a janeiro de 2024</v>
      </c>
      <c r="D3" s="14"/>
      <c r="E3" s="14"/>
      <c r="F3" s="13" t="s">
        <v>2</v>
      </c>
      <c r="J3" s="9"/>
    </row>
    <row r="4" spans="1:10" ht="7.5" customHeight="1">
      <c r="A4" s="9"/>
      <c r="J4" s="9"/>
    </row>
    <row r="5" spans="1:10" ht="21">
      <c r="A5" s="9"/>
      <c r="C5" s="6" t="s">
        <v>3</v>
      </c>
      <c r="J5" s="9"/>
    </row>
    <row r="6" spans="1:10">
      <c r="A6" s="9"/>
      <c r="C6" s="3" t="s">
        <v>144</v>
      </c>
      <c r="D6" s="4" t="str" cm="1">
        <f t="array" ref="D6">"jan-"&amp;LEFT(Periodo[Mês],3)&amp;"/"&amp;Periodo[Ano]</f>
        <v>jan-jan/2024</v>
      </c>
      <c r="E6" s="4" t="str" cm="1">
        <f t="array" ref="E6">"jan-"&amp;LEFT(Periodo[Mês],3)&amp;"/"&amp;Periodo[Ano]-1</f>
        <v>jan-jan/2023</v>
      </c>
      <c r="F6" s="4" t="str" cm="1">
        <f t="array" ref="F6">"jan-"&amp;LEFT(Periodo[Mês],3)&amp;"/"&amp;Periodo[Ano]-2</f>
        <v>jan-jan/2022</v>
      </c>
      <c r="G6" s="4" t="str" cm="1">
        <f t="array" ref="G6">Periodo[Ano]&amp;"x"&amp;Periodo[Ano]-1</f>
        <v>2024x2023</v>
      </c>
      <c r="H6" s="4" t="str" cm="1">
        <f t="array" ref="H6">Periodo[Ano]&amp;"x"&amp;Periodo[Ano]-2</f>
        <v>2024x2022</v>
      </c>
      <c r="I6" s="5"/>
      <c r="J6" s="9"/>
    </row>
    <row r="7" spans="1:10">
      <c r="A7" s="9"/>
      <c r="C7" s="15" t="s">
        <v>145</v>
      </c>
      <c r="D7" s="16">
        <v>4996750.8152999999</v>
      </c>
      <c r="E7" s="16">
        <v>5944975.5099999998</v>
      </c>
      <c r="F7" s="16">
        <v>4734242.5999999996</v>
      </c>
      <c r="G7" s="17">
        <v>-0.15950018517401701</v>
      </c>
      <c r="H7" s="17">
        <v>5.5448830463399303E-2</v>
      </c>
      <c r="J7" s="9"/>
    </row>
    <row r="8" spans="1:10">
      <c r="A8" s="9"/>
      <c r="C8" s="15" t="s">
        <v>146</v>
      </c>
      <c r="D8" s="16">
        <v>1590200.44</v>
      </c>
      <c r="E8" s="16">
        <v>1474815.08</v>
      </c>
      <c r="F8" s="16">
        <v>2503678.08</v>
      </c>
      <c r="G8" s="17">
        <v>7.8237171266244604E-2</v>
      </c>
      <c r="H8" s="17">
        <v>-0.364854270721578</v>
      </c>
      <c r="J8" s="9"/>
    </row>
    <row r="9" spans="1:10">
      <c r="A9" s="9"/>
      <c r="C9" s="15" t="s">
        <v>147</v>
      </c>
      <c r="D9" s="16">
        <v>238575</v>
      </c>
      <c r="E9" s="16">
        <v>68629.600000000006</v>
      </c>
      <c r="F9" s="16">
        <v>155036.29999999999</v>
      </c>
      <c r="G9" s="17">
        <v>2.4762697145255101</v>
      </c>
      <c r="H9" s="17">
        <v>0.53883316358814004</v>
      </c>
      <c r="J9" s="9"/>
    </row>
    <row r="10" spans="1:10">
      <c r="A10" s="9"/>
      <c r="C10" s="15" t="s">
        <v>148</v>
      </c>
      <c r="D10" s="16">
        <v>16510.8</v>
      </c>
      <c r="E10" s="16">
        <v>2250.4</v>
      </c>
      <c r="F10" s="16">
        <v>1036.8</v>
      </c>
      <c r="G10" s="17">
        <v>6.3368290081763199</v>
      </c>
      <c r="H10" s="17">
        <v>14.9247685185185</v>
      </c>
      <c r="J10" s="9"/>
    </row>
    <row r="11" spans="1:10">
      <c r="A11" s="9"/>
      <c r="C11" s="2" t="s">
        <v>8</v>
      </c>
      <c r="D11" s="12">
        <f>SUBTOTAL(109,ProdutoPesoAcumulado['[CY']])</f>
        <v>6842037.0553000001</v>
      </c>
      <c r="E11" s="12">
        <f>SUBTOTAL(109,ProdutoPesoAcumulado['[LY']])</f>
        <v>7490670.5899999999</v>
      </c>
      <c r="F11" s="12">
        <f>SUBTOTAL(109,ProdutoPesoAcumulado['[2YA']])</f>
        <v>7393993.7799999993</v>
      </c>
      <c r="G11" s="8">
        <f>ProdutoPesoAcumulado[[#Totals],['[CY']]]/ProdutoPesoAcumulado[[#Totals],['[LY']]]-1</f>
        <v>-8.6592185159753421E-2</v>
      </c>
      <c r="H11" s="8">
        <f>ProdutoPesoAcumulado[[#Totals],['[CY']]]/ProdutoPesoAcumulado[[#Totals],['[2YA']]]-1</f>
        <v>-7.464933581537303E-2</v>
      </c>
      <c r="J11" s="9"/>
    </row>
    <row r="12" spans="1:10">
      <c r="A12" s="9"/>
      <c r="C12" s="7" t="s">
        <v>9</v>
      </c>
      <c r="J12" s="9"/>
    </row>
    <row r="13" spans="1:10">
      <c r="A13" s="9"/>
      <c r="J13" s="9"/>
    </row>
    <row r="14" spans="1:10">
      <c r="A14" s="9"/>
      <c r="C14" s="1" t="str" cm="1">
        <f t="array" ref="C14:H17">_xlfn._xlws.SORT(_xlfn._xlws.FILTER(ProdutoPesoAcumulado[],ProdutoPesoAcumulado['[CY']]&gt;=LARGE(ProdutoPesoAcumulado['[CY']],MIN(4,ROWS(ProdutoPesoAcumulado[])))),2,1)</f>
        <v>COFFEE PREPARATION</v>
      </c>
      <c r="D14" s="1">
        <v>16510.8</v>
      </c>
      <c r="E14" s="1">
        <v>2250.4</v>
      </c>
      <c r="F14" s="1">
        <v>1036.8</v>
      </c>
      <c r="G14" s="1">
        <v>6.3368290081763199</v>
      </c>
      <c r="H14" s="1">
        <v>14.9247685185185</v>
      </c>
      <c r="J14" s="9"/>
    </row>
    <row r="15" spans="1:10">
      <c r="A15" s="9"/>
      <c r="C15" s="1" t="str">
        <v>EXTRACT</v>
      </c>
      <c r="D15" s="1">
        <v>238575</v>
      </c>
      <c r="E15" s="1">
        <v>68629.600000000006</v>
      </c>
      <c r="F15" s="1">
        <v>155036.29999999999</v>
      </c>
      <c r="G15" s="1">
        <v>2.4762697145255101</v>
      </c>
      <c r="H15" s="1">
        <v>0.53883316358814004</v>
      </c>
      <c r="J15" s="9"/>
    </row>
    <row r="16" spans="1:10">
      <c r="A16" s="9"/>
      <c r="C16" s="1" t="str">
        <v>FREEZE DRIED</v>
      </c>
      <c r="D16" s="1">
        <v>1590200.44</v>
      </c>
      <c r="E16" s="1">
        <v>1474815.08</v>
      </c>
      <c r="F16" s="1">
        <v>2503678.08</v>
      </c>
      <c r="G16" s="1">
        <v>7.8237171266244604E-2</v>
      </c>
      <c r="H16" s="1">
        <v>-0.364854270721578</v>
      </c>
      <c r="J16" s="9"/>
    </row>
    <row r="17" spans="1:10">
      <c r="A17" s="9"/>
      <c r="C17" s="1" t="str">
        <v>SPRAY DRIED</v>
      </c>
      <c r="D17" s="1">
        <v>4996750.8152999999</v>
      </c>
      <c r="E17" s="1">
        <v>5944975.5099999998</v>
      </c>
      <c r="F17" s="1">
        <v>4734242.5999999996</v>
      </c>
      <c r="G17" s="1">
        <v>-0.15950018517401701</v>
      </c>
      <c r="H17" s="1">
        <v>5.5448830463399303E-2</v>
      </c>
      <c r="J17" s="9"/>
    </row>
    <row r="18" spans="1:10">
      <c r="A18" s="9"/>
      <c r="J18" s="9"/>
    </row>
    <row r="19" spans="1:10" ht="16.5" customHeight="1">
      <c r="A19" s="9"/>
      <c r="J19" s="9"/>
    </row>
    <row r="20" spans="1:10" ht="16.5" customHeight="1">
      <c r="A20" s="9"/>
      <c r="J20" s="9"/>
    </row>
    <row r="21" spans="1:10" ht="16.5" customHeight="1">
      <c r="A21" s="9"/>
      <c r="J21" s="9"/>
    </row>
    <row r="22" spans="1:10" ht="16.5" customHeight="1">
      <c r="A22" s="9"/>
      <c r="J22" s="9"/>
    </row>
    <row r="23" spans="1:10" ht="16.5" customHeight="1">
      <c r="A23" s="9"/>
      <c r="J23" s="9"/>
    </row>
    <row r="24" spans="1:10" ht="16.5" customHeight="1">
      <c r="A24" s="9"/>
      <c r="J24" s="9"/>
    </row>
    <row r="25" spans="1:10" ht="16.5" customHeight="1">
      <c r="A25" s="9"/>
      <c r="J25" s="9"/>
    </row>
    <row r="26" spans="1:10" ht="16.5" customHeight="1">
      <c r="A26" s="9"/>
      <c r="J26" s="9"/>
    </row>
    <row r="27" spans="1:10" ht="16.5" customHeight="1">
      <c r="A27" s="9"/>
      <c r="J27" s="9"/>
    </row>
    <row r="28" spans="1:10" ht="16.5" customHeight="1">
      <c r="A28" s="9"/>
      <c r="J28" s="9"/>
    </row>
    <row r="29" spans="1:10" ht="16.5" customHeight="1">
      <c r="A29" s="9"/>
      <c r="C29" s="6" t="s">
        <v>10</v>
      </c>
      <c r="J29" s="9"/>
    </row>
    <row r="30" spans="1:10" ht="16.5" customHeight="1">
      <c r="A30" s="9"/>
      <c r="C30" s="3" t="s">
        <v>144</v>
      </c>
      <c r="D30" s="4" t="str" cm="1">
        <f t="array" ref="D30:H30">D6:H6</f>
        <v>jan-jan/2024</v>
      </c>
      <c r="E30" s="4" t="str">
        <v>jan-jan/2023</v>
      </c>
      <c r="F30" s="4" t="str">
        <v>jan-jan/2022</v>
      </c>
      <c r="G30" s="4" t="str">
        <v>2024x2023</v>
      </c>
      <c r="H30" s="4" t="str">
        <v>2024x2022</v>
      </c>
      <c r="J30" s="9"/>
    </row>
    <row r="31" spans="1:10" ht="16.5" customHeight="1">
      <c r="A31" s="9"/>
      <c r="C31" s="15" t="s">
        <v>145</v>
      </c>
      <c r="D31" s="16">
        <v>213988</v>
      </c>
      <c r="E31" s="16">
        <v>257474</v>
      </c>
      <c r="F31" s="16">
        <v>205144</v>
      </c>
      <c r="G31" s="17">
        <v>-0.16889472335070699</v>
      </c>
      <c r="H31" s="17">
        <v>4.3111180439106202E-2</v>
      </c>
      <c r="J31" s="9"/>
    </row>
    <row r="32" spans="1:10" ht="16.5" customHeight="1">
      <c r="A32" s="9"/>
      <c r="C32" s="15" t="s">
        <v>146</v>
      </c>
      <c r="D32" s="16">
        <v>68911</v>
      </c>
      <c r="E32" s="16">
        <v>63886</v>
      </c>
      <c r="F32" s="16">
        <v>108521</v>
      </c>
      <c r="G32" s="17">
        <v>7.8655730519988601E-2</v>
      </c>
      <c r="H32" s="17">
        <v>-0.36499847955695203</v>
      </c>
      <c r="J32" s="9"/>
    </row>
    <row r="33" spans="1:10" ht="16.5" customHeight="1">
      <c r="A33" s="9"/>
      <c r="C33" s="15" t="s">
        <v>147</v>
      </c>
      <c r="D33" s="16">
        <v>10339</v>
      </c>
      <c r="E33" s="16">
        <v>2974</v>
      </c>
      <c r="F33" s="16">
        <v>6719</v>
      </c>
      <c r="G33" s="17">
        <v>2.47646267652993</v>
      </c>
      <c r="H33" s="17">
        <v>0.53877065039440397</v>
      </c>
      <c r="J33" s="9"/>
    </row>
    <row r="34" spans="1:10" ht="16.5" customHeight="1">
      <c r="A34" s="9"/>
      <c r="C34" s="15" t="s">
        <v>148</v>
      </c>
      <c r="D34" s="16">
        <v>229</v>
      </c>
      <c r="E34" s="16">
        <v>97</v>
      </c>
      <c r="F34" s="16">
        <v>45</v>
      </c>
      <c r="G34" s="17">
        <v>1.36082474226804</v>
      </c>
      <c r="H34" s="17">
        <v>4.0888888888888903</v>
      </c>
      <c r="J34" s="9"/>
    </row>
    <row r="35" spans="1:10" ht="16.5" customHeight="1">
      <c r="A35" s="9"/>
      <c r="C35" s="2" t="s">
        <v>8</v>
      </c>
      <c r="D35" s="12">
        <f>SUBTOTAL(109,ProdutoSacaAcumulado['[CY']])</f>
        <v>293467</v>
      </c>
      <c r="E35" s="12">
        <f>SUBTOTAL(109,ProdutoSacaAcumulado['[LY']])</f>
        <v>324431</v>
      </c>
      <c r="F35" s="12">
        <f>SUBTOTAL(109,ProdutoSacaAcumulado['[2YA']])</f>
        <v>320429</v>
      </c>
      <c r="G35" s="8">
        <f>ProdutoSacaAcumulado[[#Totals],['[CY']]]/ProdutoSacaAcumulado[[#Totals],['[LY']]]-1</f>
        <v>-9.5440941217084685E-2</v>
      </c>
      <c r="H35" s="8">
        <f>ProdutoSacaAcumulado[[#Totals],['[CY']]]/ProdutoSacaAcumulado[[#Totals],['[2YA']]]-1</f>
        <v>-8.4143445193787025E-2</v>
      </c>
      <c r="J35" s="9"/>
    </row>
    <row r="36" spans="1:10" ht="16.5" customHeight="1">
      <c r="A36" s="9"/>
      <c r="C36" s="7" t="s">
        <v>9</v>
      </c>
      <c r="J36" s="9"/>
    </row>
    <row r="37" spans="1:10" ht="16.5" customHeight="1">
      <c r="A37" s="9"/>
      <c r="J37" s="9"/>
    </row>
    <row r="38" spans="1:10" ht="16.5" customHeight="1">
      <c r="A38" s="9"/>
      <c r="C38" s="1" t="str" cm="1">
        <f t="array" ref="C38:H41">_xlfn._xlws.SORT(_xlfn._xlws.FILTER(ProdutoSacaAcumulado[],ProdutoSacaAcumulado['[CY']]&gt;=LARGE(ProdutoSacaAcumulado['[CY']],MIN(4,ROWS(ProdutoSacaAcumulado[])))),2,1)</f>
        <v>COFFEE PREPARATION</v>
      </c>
      <c r="D38" s="1">
        <v>229</v>
      </c>
      <c r="E38" s="1">
        <v>97</v>
      </c>
      <c r="F38" s="1">
        <v>45</v>
      </c>
      <c r="G38" s="1">
        <v>1.36082474226804</v>
      </c>
      <c r="H38" s="1">
        <v>4.0888888888888903</v>
      </c>
      <c r="J38" s="9"/>
    </row>
    <row r="39" spans="1:10" ht="16.5" customHeight="1">
      <c r="A39" s="9"/>
      <c r="C39" s="1" t="str">
        <v>EXTRACT</v>
      </c>
      <c r="D39" s="1">
        <v>10339</v>
      </c>
      <c r="E39" s="1">
        <v>2974</v>
      </c>
      <c r="F39" s="1">
        <v>6719</v>
      </c>
      <c r="G39" s="1">
        <v>2.47646267652993</v>
      </c>
      <c r="H39" s="1">
        <v>0.53877065039440397</v>
      </c>
      <c r="J39" s="9"/>
    </row>
    <row r="40" spans="1:10" ht="16.5" customHeight="1">
      <c r="A40" s="9"/>
      <c r="C40" s="1" t="str">
        <v>FREEZE DRIED</v>
      </c>
      <c r="D40" s="1">
        <v>68911</v>
      </c>
      <c r="E40" s="1">
        <v>63886</v>
      </c>
      <c r="F40" s="1">
        <v>108521</v>
      </c>
      <c r="G40" s="1">
        <v>7.8655730519988601E-2</v>
      </c>
      <c r="H40" s="1">
        <v>-0.36499847955695203</v>
      </c>
      <c r="J40" s="9"/>
    </row>
    <row r="41" spans="1:10" ht="16.5" customHeight="1">
      <c r="A41" s="9"/>
      <c r="C41" s="1" t="str">
        <v>SPRAY DRIED</v>
      </c>
      <c r="D41" s="1">
        <v>213988</v>
      </c>
      <c r="E41" s="1">
        <v>257474</v>
      </c>
      <c r="F41" s="1">
        <v>205144</v>
      </c>
      <c r="G41" s="1">
        <v>-0.16889472335070699</v>
      </c>
      <c r="H41" s="1">
        <v>4.3111180439106202E-2</v>
      </c>
      <c r="J41" s="9"/>
    </row>
    <row r="42" spans="1:10" ht="16.5" customHeight="1">
      <c r="A42" s="9"/>
      <c r="J42" s="9"/>
    </row>
    <row r="43" spans="1:10" ht="16.5" customHeight="1">
      <c r="A43" s="9"/>
      <c r="J43" s="9"/>
    </row>
    <row r="44" spans="1:10" ht="16.5" customHeight="1">
      <c r="A44" s="9"/>
      <c r="J44" s="9"/>
    </row>
    <row r="45" spans="1:10" ht="16.5" customHeight="1">
      <c r="A45" s="9"/>
      <c r="J45" s="9"/>
    </row>
    <row r="46" spans="1:10" ht="16.5" customHeight="1">
      <c r="A46" s="9"/>
      <c r="J46" s="9"/>
    </row>
    <row r="47" spans="1:10" ht="16.5" customHeight="1">
      <c r="A47" s="9"/>
      <c r="J47" s="9"/>
    </row>
    <row r="48" spans="1:10" ht="16.5" customHeight="1">
      <c r="A48" s="9"/>
      <c r="J48" s="9"/>
    </row>
    <row r="49" spans="1:10" ht="16.5" customHeight="1">
      <c r="A49" s="9"/>
      <c r="J49" s="9"/>
    </row>
    <row r="50" spans="1:10" ht="16.5" customHeight="1">
      <c r="A50" s="9"/>
      <c r="J50" s="9"/>
    </row>
    <row r="51" spans="1:10" ht="16.5" customHeight="1">
      <c r="A51" s="9"/>
      <c r="J51" s="9"/>
    </row>
    <row r="52" spans="1:10" ht="16.5" customHeight="1">
      <c r="A52" s="9"/>
      <c r="J52" s="9"/>
    </row>
    <row r="53" spans="1:10" ht="16.5" customHeight="1">
      <c r="A53" s="9"/>
      <c r="C53" s="6" t="s">
        <v>11</v>
      </c>
      <c r="J53" s="9"/>
    </row>
    <row r="54" spans="1:10" ht="16.5" customHeight="1">
      <c r="A54" s="9"/>
      <c r="C54" s="3" t="s">
        <v>144</v>
      </c>
      <c r="D54" s="4" t="str" cm="1">
        <f t="array" ref="D54:H54">D6:H6</f>
        <v>jan-jan/2024</v>
      </c>
      <c r="E54" s="4" t="str">
        <v>jan-jan/2023</v>
      </c>
      <c r="F54" s="4" t="str">
        <v>jan-jan/2022</v>
      </c>
      <c r="G54" s="4" t="str">
        <v>2024x2023</v>
      </c>
      <c r="H54" s="4" t="str">
        <v>2024x2022</v>
      </c>
      <c r="J54" s="9"/>
    </row>
    <row r="55" spans="1:10" ht="16.5" customHeight="1">
      <c r="A55" s="9"/>
      <c r="C55" s="15" t="s">
        <v>145</v>
      </c>
      <c r="D55" s="16">
        <v>39985285.203699999</v>
      </c>
      <c r="E55" s="16">
        <v>46600848.455499999</v>
      </c>
      <c r="F55" s="16">
        <v>35000657.140000001</v>
      </c>
      <c r="G55" s="17">
        <v>-0.14196229191228801</v>
      </c>
      <c r="H55" s="17">
        <v>0.142415270769399</v>
      </c>
      <c r="J55" s="9"/>
    </row>
    <row r="56" spans="1:10" ht="16.5" customHeight="1">
      <c r="A56" s="9"/>
      <c r="C56" s="15" t="s">
        <v>146</v>
      </c>
      <c r="D56" s="16">
        <v>14581314.609999999</v>
      </c>
      <c r="E56" s="16">
        <v>13808233.060000001</v>
      </c>
      <c r="F56" s="16">
        <v>15648517.130000001</v>
      </c>
      <c r="G56" s="17">
        <v>5.5987000410608702E-2</v>
      </c>
      <c r="H56" s="17">
        <v>-6.8198316245189294E-2</v>
      </c>
      <c r="J56" s="9"/>
    </row>
    <row r="57" spans="1:10" ht="16.5" customHeight="1">
      <c r="A57" s="9"/>
      <c r="C57" s="15" t="s">
        <v>147</v>
      </c>
      <c r="D57" s="16">
        <v>1112024.45</v>
      </c>
      <c r="E57" s="16">
        <v>829681.25</v>
      </c>
      <c r="F57" s="16">
        <v>1769021.15</v>
      </c>
      <c r="G57" s="17">
        <v>0.340303218856639</v>
      </c>
      <c r="H57" s="17">
        <v>-0.37138996331389301</v>
      </c>
      <c r="J57" s="9"/>
    </row>
    <row r="58" spans="1:10" ht="16.5" customHeight="1">
      <c r="A58" s="9"/>
      <c r="C58" s="15" t="s">
        <v>148</v>
      </c>
      <c r="D58" s="16">
        <v>117262.62</v>
      </c>
      <c r="E58" s="16">
        <v>19857.21</v>
      </c>
      <c r="F58" s="16">
        <v>7486.1</v>
      </c>
      <c r="G58" s="17">
        <v>4.9052918310276201</v>
      </c>
      <c r="H58" s="17">
        <v>14.6640466998838</v>
      </c>
      <c r="J58" s="9"/>
    </row>
    <row r="59" spans="1:10" ht="16.5" customHeight="1">
      <c r="A59" s="9"/>
      <c r="C59" s="2" t="s">
        <v>8</v>
      </c>
      <c r="D59" s="12">
        <f>SUBTOTAL(109,ProdutoReceitaAcumulado['[CY']])</f>
        <v>55795886.883699998</v>
      </c>
      <c r="E59" s="12">
        <f>SUBTOTAL(109,ProdutoReceitaAcumulado['[LY']])</f>
        <v>61258619.975500003</v>
      </c>
      <c r="F59" s="12">
        <f>SUBTOTAL(109,ProdutoReceitaAcumulado['[2YA']])</f>
        <v>52425681.520000003</v>
      </c>
      <c r="G59" s="8">
        <f>ProdutoReceitaAcumulado[[#Totals],['[CY']]]/ProdutoReceitaAcumulado[[#Totals],['[LY']]]-1</f>
        <v>-8.9174929079120502E-2</v>
      </c>
      <c r="H59" s="8">
        <f>ProdutoReceitaAcumulado[[#Totals],['[CY']]]/ProdutoReceitaAcumulado[[#Totals],['[2YA']]]-1</f>
        <v>6.428538964084396E-2</v>
      </c>
      <c r="J59" s="9"/>
    </row>
    <row r="60" spans="1:10" ht="16.5" customHeight="1">
      <c r="A60" s="9"/>
      <c r="C60" s="7" t="s">
        <v>9</v>
      </c>
      <c r="J60" s="9"/>
    </row>
    <row r="61" spans="1:10" ht="16.5" customHeight="1">
      <c r="A61" s="9"/>
      <c r="J61" s="9"/>
    </row>
    <row r="62" spans="1:10" ht="16.5" customHeight="1">
      <c r="A62" s="9"/>
      <c r="C62" s="1" t="str" cm="1">
        <f t="array" ref="C62:H65">_xlfn._xlws.SORT(_xlfn._xlws.FILTER(ProdutoReceitaAcumulado[],ProdutoReceitaAcumulado['[CY']]&gt;=LARGE(ProdutoReceitaAcumulado['[CY']],MIN(4,ROWS(ProdutoReceitaAcumulado[])))),2,1)</f>
        <v>COFFEE PREPARATION</v>
      </c>
      <c r="D62" s="1">
        <v>117262.62</v>
      </c>
      <c r="E62" s="1">
        <v>19857.21</v>
      </c>
      <c r="F62" s="1">
        <v>7486.1</v>
      </c>
      <c r="G62" s="1">
        <v>4.9052918310276201</v>
      </c>
      <c r="H62" s="1">
        <v>14.6640466998838</v>
      </c>
      <c r="J62" s="9"/>
    </row>
    <row r="63" spans="1:10" ht="16.5" customHeight="1">
      <c r="A63" s="9"/>
      <c r="C63" s="1" t="str">
        <v>EXTRACT</v>
      </c>
      <c r="D63" s="1">
        <v>1112024.45</v>
      </c>
      <c r="E63" s="1">
        <v>829681.25</v>
      </c>
      <c r="F63" s="1">
        <v>1769021.15</v>
      </c>
      <c r="G63" s="1">
        <v>0.340303218856639</v>
      </c>
      <c r="H63" s="1">
        <v>-0.37138996331389301</v>
      </c>
      <c r="J63" s="9"/>
    </row>
    <row r="64" spans="1:10" ht="16.5" customHeight="1">
      <c r="A64" s="9"/>
      <c r="C64" s="1" t="str">
        <v>FREEZE DRIED</v>
      </c>
      <c r="D64" s="1">
        <v>14581314.609999999</v>
      </c>
      <c r="E64" s="1">
        <v>13808233.060000001</v>
      </c>
      <c r="F64" s="1">
        <v>15648517.130000001</v>
      </c>
      <c r="G64" s="1">
        <v>5.5987000410608702E-2</v>
      </c>
      <c r="H64" s="1">
        <v>-6.8198316245189294E-2</v>
      </c>
      <c r="J64" s="9"/>
    </row>
    <row r="65" spans="1:10" ht="16.5" customHeight="1">
      <c r="A65" s="9"/>
      <c r="C65" s="1" t="str">
        <v>SPRAY DRIED</v>
      </c>
      <c r="D65" s="1">
        <v>39985285.203699999</v>
      </c>
      <c r="E65" s="1">
        <v>46600848.455499999</v>
      </c>
      <c r="F65" s="1">
        <v>35000657.140000001</v>
      </c>
      <c r="G65" s="1">
        <v>-0.14196229191228801</v>
      </c>
      <c r="H65" s="1">
        <v>0.142415270769399</v>
      </c>
      <c r="J65" s="9"/>
    </row>
    <row r="66" spans="1:10" ht="16.5" customHeight="1">
      <c r="A66" s="9"/>
      <c r="J66" s="9"/>
    </row>
    <row r="67" spans="1:10" ht="16.5" customHeight="1">
      <c r="A67" s="9"/>
      <c r="J67" s="9"/>
    </row>
    <row r="68" spans="1:10" ht="16.5" customHeight="1">
      <c r="A68" s="9"/>
      <c r="J68" s="9"/>
    </row>
    <row r="69" spans="1:10" ht="16.5" customHeight="1">
      <c r="A69" s="9"/>
      <c r="J69" s="9"/>
    </row>
    <row r="70" spans="1:10" ht="16.5" customHeight="1">
      <c r="A70" s="9"/>
      <c r="J70" s="9"/>
    </row>
    <row r="71" spans="1:10" ht="16.5" customHeight="1">
      <c r="A71" s="9"/>
      <c r="J71" s="9"/>
    </row>
    <row r="72" spans="1:10" ht="16.5" customHeight="1">
      <c r="A72" s="9"/>
      <c r="J72" s="9"/>
    </row>
    <row r="73" spans="1:10" ht="16.5" customHeight="1">
      <c r="A73" s="9"/>
      <c r="J73" s="9"/>
    </row>
    <row r="74" spans="1:10" ht="16.5" customHeight="1">
      <c r="A74" s="9"/>
      <c r="J74" s="9"/>
    </row>
    <row r="75" spans="1:10" ht="16.5" customHeight="1">
      <c r="A75" s="9"/>
      <c r="J75" s="9"/>
    </row>
    <row r="76" spans="1:10" ht="16.5" customHeight="1">
      <c r="A76" s="9"/>
      <c r="J76" s="9"/>
    </row>
    <row r="77" spans="1:10" ht="16.5" customHeight="1">
      <c r="A77" s="9"/>
      <c r="J77" s="9"/>
    </row>
    <row r="78" spans="1:10" ht="16.5" customHeight="1">
      <c r="A78" s="9"/>
      <c r="J78" s="9"/>
    </row>
    <row r="79" spans="1:10" ht="16.5" customHeight="1">
      <c r="A79" s="9"/>
      <c r="J79" s="9"/>
    </row>
    <row r="80" spans="1:10" ht="16.5" customHeight="1">
      <c r="A80" s="9"/>
      <c r="J80" s="9"/>
    </row>
    <row r="81" spans="1:10" ht="16.5" customHeight="1">
      <c r="A81" s="9"/>
      <c r="J81" s="9"/>
    </row>
    <row r="82" spans="1:10" ht="16.5" customHeight="1">
      <c r="A82" s="9"/>
      <c r="J82" s="9"/>
    </row>
    <row r="83" spans="1:10" ht="16.5" customHeight="1">
      <c r="A83" s="9"/>
      <c r="J83" s="9"/>
    </row>
    <row r="84" spans="1:10" ht="16.5" customHeight="1">
      <c r="A84" s="9"/>
      <c r="J84" s="9"/>
    </row>
    <row r="85" spans="1:10" ht="16.5" customHeight="1">
      <c r="A85" s="9"/>
      <c r="J85" s="9"/>
    </row>
    <row r="86" spans="1:10" ht="16.5" customHeight="1">
      <c r="A86" s="9"/>
      <c r="J86" s="9"/>
    </row>
    <row r="87" spans="1:10" ht="16.5" customHeight="1">
      <c r="A87" s="9"/>
      <c r="J87" s="9"/>
    </row>
    <row r="88" spans="1:10" ht="16.5" customHeight="1">
      <c r="A88" s="9"/>
      <c r="J88" s="9"/>
    </row>
    <row r="89" spans="1:10" ht="16.5" customHeight="1">
      <c r="A89" s="9"/>
      <c r="J89" s="9"/>
    </row>
    <row r="90" spans="1:10" ht="16.5" customHeight="1">
      <c r="A90" s="9"/>
      <c r="J90" s="9"/>
    </row>
    <row r="91" spans="1:10" ht="16.5" customHeight="1">
      <c r="A91" s="9"/>
      <c r="J91" s="9"/>
    </row>
    <row r="92" spans="1:10" ht="16.5" customHeight="1">
      <c r="A92" s="9"/>
      <c r="J92" s="9"/>
    </row>
    <row r="93" spans="1:10" ht="16.5" customHeight="1">
      <c r="A93" s="9"/>
      <c r="J93" s="9"/>
    </row>
    <row r="94" spans="1:10" ht="16.5" customHeight="1">
      <c r="A94" s="9"/>
      <c r="J94" s="9"/>
    </row>
    <row r="95" spans="1:10" ht="16.5" customHeight="1">
      <c r="A95" s="9"/>
      <c r="J95" s="9"/>
    </row>
    <row r="96" spans="1:10" ht="16.5" customHeight="1">
      <c r="A96" s="9"/>
      <c r="J96" s="9"/>
    </row>
    <row r="97" spans="1:10" ht="16.5" customHeight="1">
      <c r="A97" s="9"/>
      <c r="J97" s="9"/>
    </row>
    <row r="98" spans="1:10" ht="16.5" customHeight="1">
      <c r="A98" s="9"/>
      <c r="J98" s="9"/>
    </row>
    <row r="99" spans="1:10" ht="16.5" customHeight="1"/>
  </sheetData>
  <pageMargins left="0.7" right="0.7" top="0.75" bottom="0.75" header="0.3" footer="0.3"/>
  <pageSetup paperSize="9" orientation="landscape" horizontalDpi="0" verticalDpi="0" r:id="rId1"/>
  <drawing r:id="rId2"/>
  <tableParts count="3"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7AE0C-2169-4CDE-8286-4EC3D020ED01}">
  <dimension ref="A1:O40"/>
  <sheetViews>
    <sheetView showGridLines="0" showRowColHeaders="0" zoomScale="80" zoomScaleNormal="80" workbookViewId="0">
      <pane ySplit="4" topLeftCell="A5" activePane="bottomLeft" state="frozen"/>
      <selection pane="bottomLeft"/>
    </sheetView>
  </sheetViews>
  <sheetFormatPr defaultColWidth="0" defaultRowHeight="16.5" customHeight="1" zeroHeight="1"/>
  <cols>
    <col min="1" max="2" width="3.140625" style="1" customWidth="1"/>
    <col min="3" max="3" width="28.5703125" style="1" customWidth="1"/>
    <col min="4" max="13" width="18.5703125" style="1" customWidth="1"/>
    <col min="14" max="15" width="3.140625" style="1" customWidth="1"/>
    <col min="16" max="16384" width="8.7109375" style="1" hidden="1"/>
  </cols>
  <sheetData>
    <row r="1" spans="1:15" ht="29.45" customHeight="1">
      <c r="A1" s="9"/>
      <c r="C1" s="10" t="s">
        <v>0</v>
      </c>
      <c r="O1" s="9"/>
    </row>
    <row r="2" spans="1:15" ht="21" customHeight="1">
      <c r="A2" s="9"/>
      <c r="C2" s="11" t="s">
        <v>143</v>
      </c>
      <c r="O2" s="9"/>
    </row>
    <row r="3" spans="1:15" ht="14.45" customHeight="1">
      <c r="A3" s="9"/>
      <c r="C3" s="13" t="str" cm="1">
        <f t="array" ref="C3">"Período: "&amp;Periodo[Ano]-9&amp;" a "&amp;Periodo[Ano]</f>
        <v>Período: 2015 a 2024</v>
      </c>
      <c r="D3" s="14"/>
      <c r="E3" s="14"/>
      <c r="F3" s="13" t="s">
        <v>2</v>
      </c>
      <c r="O3" s="9"/>
    </row>
    <row r="4" spans="1:15" ht="7.5" customHeight="1">
      <c r="A4" s="9"/>
      <c r="O4" s="9"/>
    </row>
    <row r="5" spans="1:15" ht="21">
      <c r="A5" s="9"/>
      <c r="C5" s="6" t="s">
        <v>3</v>
      </c>
      <c r="O5" s="9"/>
    </row>
    <row r="6" spans="1:15">
      <c r="A6" s="9"/>
      <c r="C6" s="3" t="s">
        <v>144</v>
      </c>
      <c r="D6" s="4" cm="1">
        <f t="array" ref="D6">Periodo[Ano]-9</f>
        <v>2015</v>
      </c>
      <c r="E6" s="4">
        <f>D6+1</f>
        <v>2016</v>
      </c>
      <c r="F6" s="4">
        <f t="shared" ref="F6:M6" si="0">E6+1</f>
        <v>2017</v>
      </c>
      <c r="G6" s="4">
        <f t="shared" si="0"/>
        <v>2018</v>
      </c>
      <c r="H6" s="4">
        <f t="shared" si="0"/>
        <v>2019</v>
      </c>
      <c r="I6" s="4">
        <f t="shared" si="0"/>
        <v>2020</v>
      </c>
      <c r="J6" s="4">
        <f t="shared" si="0"/>
        <v>2021</v>
      </c>
      <c r="K6" s="4">
        <f t="shared" si="0"/>
        <v>2022</v>
      </c>
      <c r="L6" s="4">
        <f t="shared" si="0"/>
        <v>2023</v>
      </c>
      <c r="M6" s="4">
        <f t="shared" si="0"/>
        <v>2024</v>
      </c>
      <c r="N6" s="5"/>
      <c r="O6" s="9"/>
    </row>
    <row r="7" spans="1:15">
      <c r="A7" s="9"/>
      <c r="C7" s="18" t="s">
        <v>145</v>
      </c>
      <c r="D7" s="19">
        <v>65293232.240000002</v>
      </c>
      <c r="E7" s="19">
        <v>70753888.871000007</v>
      </c>
      <c r="F7" s="19">
        <v>60086528.854000002</v>
      </c>
      <c r="G7" s="19">
        <v>61447749.362000003</v>
      </c>
      <c r="H7" s="19">
        <v>68746274.259999901</v>
      </c>
      <c r="I7" s="19">
        <v>69603958.495999902</v>
      </c>
      <c r="J7" s="19">
        <v>72008913.725999907</v>
      </c>
      <c r="K7" s="19">
        <v>66552635.098999999</v>
      </c>
      <c r="L7" s="19">
        <v>66186953.4830001</v>
      </c>
      <c r="M7" s="19">
        <v>4996750.8152999999</v>
      </c>
      <c r="O7" s="9"/>
    </row>
    <row r="8" spans="1:15" ht="16.5" customHeight="1">
      <c r="A8" s="9"/>
      <c r="C8" s="18" t="s">
        <v>146</v>
      </c>
      <c r="D8" s="19">
        <v>14057793.939999999</v>
      </c>
      <c r="E8" s="19">
        <v>16583778.74</v>
      </c>
      <c r="F8" s="19">
        <v>16358279.560000001</v>
      </c>
      <c r="G8" s="19">
        <v>17363651.399999999</v>
      </c>
      <c r="H8" s="19">
        <v>17105494.75</v>
      </c>
      <c r="I8" s="19">
        <v>17876475.199000001</v>
      </c>
      <c r="J8" s="19">
        <v>19917019.175999999</v>
      </c>
      <c r="K8" s="19">
        <v>17907387.34</v>
      </c>
      <c r="L8" s="19">
        <v>18091603.967999998</v>
      </c>
      <c r="M8" s="19">
        <v>1590200.44</v>
      </c>
      <c r="O8" s="9"/>
    </row>
    <row r="9" spans="1:15" ht="16.5" customHeight="1">
      <c r="A9" s="9"/>
      <c r="C9" s="18" t="s">
        <v>147</v>
      </c>
      <c r="D9" s="19">
        <v>1838131.06</v>
      </c>
      <c r="E9" s="19">
        <v>2120747.91</v>
      </c>
      <c r="F9" s="19">
        <v>3519972.75</v>
      </c>
      <c r="G9" s="19">
        <v>3325354.14</v>
      </c>
      <c r="H9" s="19">
        <v>2456566.81</v>
      </c>
      <c r="I9" s="19">
        <v>1597851.41</v>
      </c>
      <c r="J9" s="19">
        <v>1518594.4</v>
      </c>
      <c r="K9" s="19">
        <v>1338521.05</v>
      </c>
      <c r="L9" s="19">
        <v>2107402</v>
      </c>
      <c r="M9" s="19">
        <v>238575</v>
      </c>
      <c r="O9" s="9"/>
    </row>
    <row r="10" spans="1:15" ht="16.5" customHeight="1">
      <c r="A10" s="9"/>
      <c r="C10" s="18" t="s">
        <v>148</v>
      </c>
      <c r="D10" s="19">
        <v>357826.55</v>
      </c>
      <c r="E10" s="19">
        <v>103412.14</v>
      </c>
      <c r="F10" s="19">
        <v>718275.71699999995</v>
      </c>
      <c r="G10" s="19">
        <v>3791389.602</v>
      </c>
      <c r="H10" s="19">
        <v>3911786.04</v>
      </c>
      <c r="I10" s="19">
        <v>5116883.6764000002</v>
      </c>
      <c r="J10" s="19">
        <v>1011410.0852</v>
      </c>
      <c r="K10" s="19">
        <v>342441.77</v>
      </c>
      <c r="L10" s="19">
        <v>182981.24</v>
      </c>
      <c r="M10" s="19">
        <v>16510.8</v>
      </c>
      <c r="O10" s="9"/>
    </row>
    <row r="11" spans="1:15" ht="16.5" customHeight="1">
      <c r="A11" s="9"/>
      <c r="C11" s="2" t="s">
        <v>8</v>
      </c>
      <c r="D11" s="12">
        <f>SUBTOTAL(109,ProdutoPesoAnual['[9YA']])</f>
        <v>81546983.790000007</v>
      </c>
      <c r="E11" s="12">
        <f>SUBTOTAL(109,ProdutoPesoAnual['[8YA']])</f>
        <v>89561827.660999998</v>
      </c>
      <c r="F11" s="12">
        <f>SUBTOTAL(109,ProdutoPesoAnual['[7YA']])</f>
        <v>80683056.880999997</v>
      </c>
      <c r="G11" s="12">
        <f>SUBTOTAL(109,ProdutoPesoAnual['[6YA']])</f>
        <v>85928144.503999993</v>
      </c>
      <c r="H11" s="12">
        <f>SUBTOTAL(109,ProdutoPesoAnual['[5YA']])</f>
        <v>92220121.85999991</v>
      </c>
      <c r="I11" s="12">
        <f>SUBTOTAL(109,ProdutoPesoAnual['[4YA']])</f>
        <v>94195168.781399906</v>
      </c>
      <c r="J11" s="12">
        <f>SUBTOTAL(109,ProdutoPesoAnual['[3YA']])</f>
        <v>94455937.387199908</v>
      </c>
      <c r="K11" s="12">
        <f>SUBTOTAL(109,ProdutoPesoAnual['[2YA']])</f>
        <v>86140985.258999988</v>
      </c>
      <c r="L11" s="12">
        <f>SUBTOTAL(109,ProdutoPesoAnual['[LY']])</f>
        <v>86568940.691000089</v>
      </c>
      <c r="M11" s="12">
        <f>SUBTOTAL(109,ProdutoPesoAnual['[CY']])</f>
        <v>6842037.0553000001</v>
      </c>
      <c r="O11" s="9"/>
    </row>
    <row r="12" spans="1:15" ht="16.5" customHeight="1">
      <c r="A12" s="9"/>
      <c r="C12" s="7" t="s">
        <v>9</v>
      </c>
      <c r="O12" s="9"/>
    </row>
    <row r="13" spans="1:15" ht="16.5" customHeight="1">
      <c r="A13" s="9"/>
      <c r="O13" s="9"/>
    </row>
    <row r="14" spans="1:15" ht="16.5" customHeight="1">
      <c r="A14" s="9"/>
      <c r="O14" s="9"/>
    </row>
    <row r="15" spans="1:15" ht="16.5" customHeight="1">
      <c r="A15" s="9"/>
      <c r="C15" s="6" t="s">
        <v>10</v>
      </c>
      <c r="O15" s="9"/>
    </row>
    <row r="16" spans="1:15" ht="16.5" customHeight="1">
      <c r="A16" s="9"/>
      <c r="C16" s="3" t="s">
        <v>144</v>
      </c>
      <c r="D16" s="4" cm="1">
        <f t="array" ref="D16">Periodo[Ano]-9</f>
        <v>2015</v>
      </c>
      <c r="E16" s="4">
        <f>D16+1</f>
        <v>2016</v>
      </c>
      <c r="F16" s="4">
        <f t="shared" ref="F16:M16" si="1">E16+1</f>
        <v>2017</v>
      </c>
      <c r="G16" s="4">
        <f t="shared" si="1"/>
        <v>2018</v>
      </c>
      <c r="H16" s="4">
        <f t="shared" si="1"/>
        <v>2019</v>
      </c>
      <c r="I16" s="4">
        <f t="shared" si="1"/>
        <v>2020</v>
      </c>
      <c r="J16" s="4">
        <f t="shared" si="1"/>
        <v>2021</v>
      </c>
      <c r="K16" s="4">
        <f t="shared" si="1"/>
        <v>2022</v>
      </c>
      <c r="L16" s="4">
        <f t="shared" si="1"/>
        <v>2023</v>
      </c>
      <c r="M16" s="4">
        <f t="shared" si="1"/>
        <v>2024</v>
      </c>
      <c r="O16" s="9"/>
    </row>
    <row r="17" spans="1:15" ht="16.5" customHeight="1">
      <c r="A17" s="9"/>
      <c r="C17" s="18" t="s">
        <v>145</v>
      </c>
      <c r="D17" s="19">
        <v>2830136</v>
      </c>
      <c r="E17" s="19">
        <v>3066427</v>
      </c>
      <c r="F17" s="19">
        <v>2604113</v>
      </c>
      <c r="G17" s="19">
        <v>2664397</v>
      </c>
      <c r="H17" s="19">
        <v>2979748</v>
      </c>
      <c r="I17" s="19">
        <v>3017814</v>
      </c>
      <c r="J17" s="19">
        <v>3120636</v>
      </c>
      <c r="K17" s="19">
        <v>2883833</v>
      </c>
      <c r="L17" s="19">
        <v>2791982</v>
      </c>
      <c r="M17" s="19">
        <v>213988</v>
      </c>
      <c r="O17" s="9"/>
    </row>
    <row r="18" spans="1:15" ht="16.5" customHeight="1">
      <c r="A18" s="9"/>
      <c r="C18" s="18" t="s">
        <v>146</v>
      </c>
      <c r="D18" s="19">
        <v>609264</v>
      </c>
      <c r="E18" s="19">
        <v>718821</v>
      </c>
      <c r="F18" s="19">
        <v>709034</v>
      </c>
      <c r="G18" s="19">
        <v>752570</v>
      </c>
      <c r="H18" s="19">
        <v>741366</v>
      </c>
      <c r="I18" s="19">
        <v>774790</v>
      </c>
      <c r="J18" s="19">
        <v>863219</v>
      </c>
      <c r="K18" s="19">
        <v>776336</v>
      </c>
      <c r="L18" s="19">
        <v>783881</v>
      </c>
      <c r="M18" s="19">
        <v>68911</v>
      </c>
      <c r="O18" s="9"/>
    </row>
    <row r="19" spans="1:15" ht="16.5" customHeight="1">
      <c r="A19" s="9"/>
      <c r="C19" s="18" t="s">
        <v>147</v>
      </c>
      <c r="D19" s="19">
        <v>79648</v>
      </c>
      <c r="E19" s="19">
        <v>91905</v>
      </c>
      <c r="F19" s="19">
        <v>152529</v>
      </c>
      <c r="G19" s="19">
        <v>144094</v>
      </c>
      <c r="H19" s="19">
        <v>106444</v>
      </c>
      <c r="I19" s="19">
        <v>69238</v>
      </c>
      <c r="J19" s="19">
        <v>65806</v>
      </c>
      <c r="K19" s="19">
        <v>58008</v>
      </c>
      <c r="L19" s="19">
        <v>91307</v>
      </c>
      <c r="M19" s="19">
        <v>10339</v>
      </c>
      <c r="O19" s="9"/>
    </row>
    <row r="20" spans="1:15" ht="16.5" customHeight="1">
      <c r="A20" s="9"/>
      <c r="C20" s="18" t="s">
        <v>148</v>
      </c>
      <c r="D20" s="19">
        <v>15506</v>
      </c>
      <c r="E20" s="19">
        <v>4478</v>
      </c>
      <c r="F20" s="19">
        <v>31124</v>
      </c>
      <c r="G20" s="19">
        <v>164289</v>
      </c>
      <c r="H20" s="19">
        <v>169504</v>
      </c>
      <c r="I20" s="19">
        <v>221714</v>
      </c>
      <c r="J20" s="19">
        <v>43821</v>
      </c>
      <c r="K20" s="19">
        <v>14835</v>
      </c>
      <c r="L20" s="19">
        <v>5282</v>
      </c>
      <c r="M20" s="19">
        <v>229</v>
      </c>
      <c r="O20" s="9"/>
    </row>
    <row r="21" spans="1:15" ht="16.5" customHeight="1">
      <c r="A21" s="9"/>
      <c r="C21" s="2" t="s">
        <v>8</v>
      </c>
      <c r="D21" s="12">
        <f>SUBTOTAL(109,ProdutoSacaAnual['[9YA']])</f>
        <v>3534554</v>
      </c>
      <c r="E21" s="12">
        <f>SUBTOTAL(109,ProdutoSacaAnual['[8YA']])</f>
        <v>3881631</v>
      </c>
      <c r="F21" s="12">
        <f>SUBTOTAL(109,ProdutoSacaAnual['[7YA']])</f>
        <v>3496800</v>
      </c>
      <c r="G21" s="12">
        <f>SUBTOTAL(109,ProdutoSacaAnual['[6YA']])</f>
        <v>3725350</v>
      </c>
      <c r="H21" s="12">
        <f>SUBTOTAL(109,ProdutoSacaAnual['[5YA']])</f>
        <v>3997062</v>
      </c>
      <c r="I21" s="12">
        <f>SUBTOTAL(109,ProdutoSacaAnual['[4YA']])</f>
        <v>4083556</v>
      </c>
      <c r="J21" s="12">
        <f>SUBTOTAL(109,ProdutoSacaAnual['[3YA']])</f>
        <v>4093482</v>
      </c>
      <c r="K21" s="12">
        <f>SUBTOTAL(109,ProdutoSacaAnual['[2YA']])</f>
        <v>3733012</v>
      </c>
      <c r="L21" s="12">
        <f>SUBTOTAL(109,ProdutoSacaAnual['[LY']])</f>
        <v>3672452</v>
      </c>
      <c r="M21" s="12">
        <f>SUBTOTAL(109,ProdutoSacaAnual['[CY']])</f>
        <v>293467</v>
      </c>
      <c r="O21" s="9"/>
    </row>
    <row r="22" spans="1:15" ht="16.5" customHeight="1">
      <c r="A22" s="9"/>
      <c r="C22" s="7" t="s">
        <v>9</v>
      </c>
      <c r="O22" s="9"/>
    </row>
    <row r="23" spans="1:15" ht="16.5" customHeight="1">
      <c r="A23" s="9"/>
      <c r="O23" s="9"/>
    </row>
    <row r="24" spans="1:15" ht="16.5" customHeight="1">
      <c r="A24" s="9"/>
      <c r="O24" s="9"/>
    </row>
    <row r="25" spans="1:15" ht="16.5" customHeight="1">
      <c r="A25" s="9"/>
      <c r="C25" s="6" t="s">
        <v>11</v>
      </c>
      <c r="O25" s="9"/>
    </row>
    <row r="26" spans="1:15" ht="16.5" customHeight="1">
      <c r="A26" s="9"/>
      <c r="C26" s="3" t="s">
        <v>144</v>
      </c>
      <c r="D26" s="4" cm="1">
        <f t="array" ref="D26">Periodo[Ano]-9</f>
        <v>2015</v>
      </c>
      <c r="E26" s="4">
        <f>D26+1</f>
        <v>2016</v>
      </c>
      <c r="F26" s="4">
        <f t="shared" ref="F26:M26" si="2">E26+1</f>
        <v>2017</v>
      </c>
      <c r="G26" s="4">
        <f t="shared" si="2"/>
        <v>2018</v>
      </c>
      <c r="H26" s="4">
        <f t="shared" si="2"/>
        <v>2019</v>
      </c>
      <c r="I26" s="4">
        <f t="shared" si="2"/>
        <v>2020</v>
      </c>
      <c r="J26" s="4">
        <f t="shared" si="2"/>
        <v>2021</v>
      </c>
      <c r="K26" s="4">
        <f t="shared" si="2"/>
        <v>2022</v>
      </c>
      <c r="L26" s="4">
        <f t="shared" si="2"/>
        <v>2023</v>
      </c>
      <c r="M26" s="4">
        <f t="shared" si="2"/>
        <v>2024</v>
      </c>
      <c r="O26" s="9"/>
    </row>
    <row r="27" spans="1:15" ht="16.5" customHeight="1">
      <c r="A27" s="9"/>
      <c r="C27" s="18" t="s">
        <v>145</v>
      </c>
      <c r="D27" s="19">
        <v>442074377.27999997</v>
      </c>
      <c r="E27" s="19">
        <v>449739103.52020001</v>
      </c>
      <c r="F27" s="19">
        <v>452273620.50599998</v>
      </c>
      <c r="G27" s="19">
        <v>396647728.24000001</v>
      </c>
      <c r="H27" s="19">
        <v>410404640.8096</v>
      </c>
      <c r="I27" s="19">
        <v>375273036.67000002</v>
      </c>
      <c r="J27" s="19">
        <v>411244965.41000003</v>
      </c>
      <c r="K27" s="19">
        <v>523001100.91710001</v>
      </c>
      <c r="L27" s="19">
        <v>510023369.40259999</v>
      </c>
      <c r="M27" s="19">
        <v>39985285.203699999</v>
      </c>
      <c r="O27" s="9"/>
    </row>
    <row r="28" spans="1:15" ht="16.5" customHeight="1">
      <c r="A28" s="9"/>
      <c r="C28" s="18" t="s">
        <v>146</v>
      </c>
      <c r="D28" s="19">
        <v>112669121.06</v>
      </c>
      <c r="E28" s="19">
        <v>132804728.84999999</v>
      </c>
      <c r="F28" s="19">
        <v>141583498.33000001</v>
      </c>
      <c r="G28" s="19">
        <v>140712724.88</v>
      </c>
      <c r="H28" s="19">
        <v>128399256.18000001</v>
      </c>
      <c r="I28" s="19">
        <v>126890712.91</v>
      </c>
      <c r="J28" s="19">
        <v>136206659.55000001</v>
      </c>
      <c r="K28" s="19">
        <v>164527791.44999999</v>
      </c>
      <c r="L28" s="19">
        <v>174947532.91069999</v>
      </c>
      <c r="M28" s="19">
        <v>14581314.609999999</v>
      </c>
      <c r="O28" s="9"/>
    </row>
    <row r="29" spans="1:15" ht="16.5" customHeight="1">
      <c r="A29" s="9"/>
      <c r="C29" s="18" t="s">
        <v>147</v>
      </c>
      <c r="D29" s="19">
        <v>19152292.16</v>
      </c>
      <c r="E29" s="19">
        <v>21607536.050000001</v>
      </c>
      <c r="F29" s="19">
        <v>45712499.950000003</v>
      </c>
      <c r="G29" s="19">
        <v>40401721.009999998</v>
      </c>
      <c r="H29" s="19">
        <v>26169080.809999999</v>
      </c>
      <c r="I29" s="19">
        <v>15110402.789999999</v>
      </c>
      <c r="J29" s="19">
        <v>13542808.92</v>
      </c>
      <c r="K29" s="19">
        <v>18297152.91</v>
      </c>
      <c r="L29" s="19">
        <v>15397213.76</v>
      </c>
      <c r="M29" s="19">
        <v>1112024.45</v>
      </c>
      <c r="O29" s="9"/>
    </row>
    <row r="30" spans="1:15" ht="16.5" customHeight="1">
      <c r="A30" s="9"/>
      <c r="C30" s="18" t="s">
        <v>148</v>
      </c>
      <c r="D30" s="19">
        <v>2641264.7599999998</v>
      </c>
      <c r="E30" s="19">
        <v>1134499.23</v>
      </c>
      <c r="F30" s="19">
        <v>4764153.42</v>
      </c>
      <c r="G30" s="19">
        <v>23050572.010000002</v>
      </c>
      <c r="H30" s="19">
        <v>18684096.77</v>
      </c>
      <c r="I30" s="19">
        <v>19486097.289999999</v>
      </c>
      <c r="J30" s="19">
        <v>5845653.79</v>
      </c>
      <c r="K30" s="19">
        <v>3203848.07</v>
      </c>
      <c r="L30" s="19">
        <v>1908336.5119</v>
      </c>
      <c r="M30" s="19">
        <v>117262.62</v>
      </c>
      <c r="O30" s="9"/>
    </row>
    <row r="31" spans="1:15" ht="16.5" customHeight="1">
      <c r="A31" s="9"/>
      <c r="C31" s="2" t="s">
        <v>8</v>
      </c>
      <c r="D31" s="12">
        <f>SUBTOTAL(109,ProdutoReceitaAnual['[9YA']])</f>
        <v>576537055.25999987</v>
      </c>
      <c r="E31" s="12">
        <f>SUBTOTAL(109,ProdutoReceitaAnual['[8YA']])</f>
        <v>605285867.65020001</v>
      </c>
      <c r="F31" s="12">
        <f>SUBTOTAL(109,ProdutoReceitaAnual['[7YA']])</f>
        <v>644333772.20599997</v>
      </c>
      <c r="G31" s="12">
        <f>SUBTOTAL(109,ProdutoReceitaAnual['[6YA']])</f>
        <v>600812746.13999999</v>
      </c>
      <c r="H31" s="12">
        <f>SUBTOTAL(109,ProdutoReceitaAnual['[5YA']])</f>
        <v>583657074.56959987</v>
      </c>
      <c r="I31" s="12">
        <f>SUBTOTAL(109,ProdutoReceitaAnual['[4YA']])</f>
        <v>536760249.66000009</v>
      </c>
      <c r="J31" s="12">
        <f>SUBTOTAL(109,ProdutoReceitaAnual['[3YA']])</f>
        <v>566840087.66999996</v>
      </c>
      <c r="K31" s="12">
        <f>SUBTOTAL(109,ProdutoReceitaAnual['[2YA']])</f>
        <v>709029893.34710002</v>
      </c>
      <c r="L31" s="12">
        <f>SUBTOTAL(109,ProdutoReceitaAnual['[LY']])</f>
        <v>702276452.58519995</v>
      </c>
      <c r="M31" s="12">
        <f>SUBTOTAL(109,ProdutoReceitaAnual['[CY']])</f>
        <v>55795886.883699998</v>
      </c>
      <c r="O31" s="9"/>
    </row>
    <row r="32" spans="1:15" ht="16.5" customHeight="1">
      <c r="A32" s="9"/>
      <c r="C32" s="7" t="s">
        <v>9</v>
      </c>
      <c r="O32" s="9"/>
    </row>
    <row r="33" spans="1:15" ht="16.5" customHeight="1">
      <c r="A33" s="9"/>
      <c r="O33" s="9"/>
    </row>
    <row r="34" spans="1:15" ht="16.5" customHeight="1">
      <c r="A34" s="9"/>
      <c r="O34" s="9"/>
    </row>
    <row r="35" spans="1:15" ht="16.5" customHeight="1">
      <c r="A35" s="9"/>
      <c r="O35" s="9"/>
    </row>
    <row r="36" spans="1:15" ht="16.5" customHeight="1">
      <c r="A36" s="9"/>
      <c r="O36" s="9"/>
    </row>
    <row r="37" spans="1:15" ht="16.5" customHeight="1">
      <c r="A37" s="9"/>
      <c r="O37" s="9"/>
    </row>
    <row r="38" spans="1:15" ht="16.5" customHeight="1">
      <c r="A38" s="9"/>
      <c r="O38" s="9"/>
    </row>
    <row r="39" spans="1:15" ht="16.5" customHeight="1">
      <c r="A39" s="9"/>
      <c r="O39" s="9"/>
    </row>
    <row r="40" spans="1:15" ht="16.5" customHeight="1"/>
  </sheetData>
  <pageMargins left="0.7" right="0.7" top="0.75" bottom="0.75" header="0.3" footer="0.3"/>
  <pageSetup paperSize="9" orientation="landscape" horizontalDpi="0" verticalDpi="0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f4bb1f-16d1-48cf-940a-547129f29b02">
      <Terms xmlns="http://schemas.microsoft.com/office/infopath/2007/PartnerControls"/>
    </lcf76f155ced4ddcb4097134ff3c332f>
    <TaxCatchAll xmlns="2d8e1445-d8e9-47dd-aa7b-54f922eea81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BE9F1A0C5E93B408071424CA7CEF417" ma:contentTypeVersion="12" ma:contentTypeDescription="Crie um novo documento." ma:contentTypeScope="" ma:versionID="4cb1bbddcd126f9bf154d1000cff34fd">
  <xsd:schema xmlns:xsd="http://www.w3.org/2001/XMLSchema" xmlns:xs="http://www.w3.org/2001/XMLSchema" xmlns:p="http://schemas.microsoft.com/office/2006/metadata/properties" xmlns:ns2="d3f4bb1f-16d1-48cf-940a-547129f29b02" xmlns:ns3="2d8e1445-d8e9-47dd-aa7b-54f922eea81b" targetNamespace="http://schemas.microsoft.com/office/2006/metadata/properties" ma:root="true" ma:fieldsID="cab5f2ac7f7d0fba7c67b828f1e59299" ns2:_="" ns3:_="">
    <xsd:import namespace="d3f4bb1f-16d1-48cf-940a-547129f29b02"/>
    <xsd:import namespace="2d8e1445-d8e9-47dd-aa7b-54f922eea8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f4bb1f-16d1-48cf-940a-547129f29b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Marcações de imagem" ma:readOnly="false" ma:fieldId="{5cf76f15-5ced-4ddc-b409-7134ff3c332f}" ma:taxonomyMulti="true" ma:sspId="30a4a4e9-291d-4b8b-ab69-9db2c94829f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8e1445-d8e9-47dd-aa7b-54f922eea81b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aa7d704-deff-45c7-bc7d-a1a2ed9beb13}" ma:internalName="TaxCatchAll" ma:showField="CatchAllData" ma:web="2d8e1445-d8e9-47dd-aa7b-54f922eea8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3EA738-DD1A-412B-BE87-C7CD3EEFFD67}"/>
</file>

<file path=customXml/itemProps2.xml><?xml version="1.0" encoding="utf-8"?>
<ds:datastoreItem xmlns:ds="http://schemas.openxmlformats.org/officeDocument/2006/customXml" ds:itemID="{1D9DC46E-7111-4526-970D-6CCB47CC0FBD}"/>
</file>

<file path=customXml/itemProps3.xml><?xml version="1.0" encoding="utf-8"?>
<ds:datastoreItem xmlns:ds="http://schemas.openxmlformats.org/officeDocument/2006/customXml" ds:itemID="{892C6568-153C-4029-B097-B227C34B9C26}"/>
</file>

<file path=customXml/itemProps4.xml><?xml version="1.0" encoding="utf-8"?>
<ds:datastoreItem xmlns:ds="http://schemas.openxmlformats.org/officeDocument/2006/customXml" ds:itemID="{6CC03331-A994-4C02-AA88-32589AB8AE3C}"/>
</file>

<file path=docMetadata/LabelInfo.xml><?xml version="1.0" encoding="utf-8"?>
<clbl:labelList xmlns:clbl="http://schemas.microsoft.com/office/2020/mipLabelMetadata">
  <clbl:label id="{98a0a9f5-7094-4596-9a2a-ee2366417fc2}" enabled="1" method="Privileged" siteId="{359dad7d-c757-4434-852e-3189f5ca933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Watabe</dc:creator>
  <cp:keywords/>
  <dc:description/>
  <cp:lastModifiedBy>ABICS</cp:lastModifiedBy>
  <cp:revision/>
  <dcterms:created xsi:type="dcterms:W3CDTF">2023-07-26T04:12:31Z</dcterms:created>
  <dcterms:modified xsi:type="dcterms:W3CDTF">2024-02-09T03:33:12Z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0x010100EBE9F1A0C5E93B408071424CA7CEF417</vt:lpwstr>
  </property>
</Properties>
</file>